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390" yWindow="615" windowWidth="12120" windowHeight="9120"/>
  </bookViews>
  <sheets>
    <sheet name="Прайс-лист" sheetId="1" r:id="rId1"/>
    <sheet name="Список цен" sheetId="2" r:id="rId2"/>
  </sheets>
  <definedNames>
    <definedName name="_xlnm._FilterDatabase" localSheetId="0" hidden="1">'Прайс-лист'!$A$11:$J$1060</definedName>
    <definedName name="_xlnm.Print_Titles" localSheetId="0">'Прайс-лист'!$10:$11</definedName>
  </definedNames>
  <calcPr calcId="145621" fullCalcOnLoad="1"/>
</workbook>
</file>

<file path=xl/calcChain.xml><?xml version="1.0" encoding="utf-8"?>
<calcChain xmlns="http://schemas.openxmlformats.org/spreadsheetml/2006/main">
  <c r="H1060" i="1"/>
  <c r="G1060"/>
  <c r="H1059"/>
  <c r="G1059"/>
  <c r="H1058"/>
  <c r="G1058"/>
  <c r="H1056"/>
  <c r="G1056"/>
  <c r="H1055"/>
  <c r="G1055"/>
  <c r="H1054"/>
  <c r="G1054"/>
  <c r="H1053"/>
  <c r="G1053"/>
  <c r="H1052"/>
  <c r="G1052"/>
  <c r="H1051"/>
  <c r="G1051"/>
  <c r="H1050"/>
  <c r="G1050"/>
  <c r="H1049"/>
  <c r="G1049"/>
  <c r="H1048"/>
  <c r="G1048"/>
  <c r="H1047"/>
  <c r="G1047"/>
  <c r="H1046"/>
  <c r="G1046"/>
  <c r="H1045"/>
  <c r="G1045"/>
  <c r="H1044"/>
  <c r="G1044"/>
  <c r="H1043"/>
  <c r="G1043"/>
  <c r="H1042"/>
  <c r="G1042"/>
  <c r="H1041"/>
  <c r="G1041"/>
  <c r="H1040"/>
  <c r="G1040"/>
  <c r="H1039"/>
  <c r="G1039"/>
  <c r="H1038"/>
  <c r="G1038"/>
  <c r="H1037"/>
  <c r="G1037"/>
  <c r="H1036"/>
  <c r="G1036"/>
  <c r="H1035"/>
  <c r="G1035"/>
  <c r="H1034"/>
  <c r="G1034"/>
  <c r="H1033"/>
  <c r="G1033"/>
  <c r="H1032"/>
  <c r="G1032"/>
  <c r="H1031"/>
  <c r="G1031"/>
  <c r="H1030"/>
  <c r="G1030"/>
  <c r="H1029"/>
  <c r="G1029"/>
  <c r="H1028"/>
  <c r="G1028"/>
  <c r="H1027"/>
  <c r="G1027"/>
  <c r="H1026"/>
  <c r="G1026"/>
  <c r="H1025"/>
  <c r="G1025"/>
  <c r="H1024"/>
  <c r="G1024"/>
  <c r="H1023"/>
  <c r="G1023"/>
  <c r="H1022"/>
  <c r="G1022"/>
  <c r="H1021"/>
  <c r="G1021"/>
  <c r="H1020"/>
  <c r="G1020"/>
  <c r="H1018"/>
  <c r="G1018"/>
  <c r="H1017"/>
  <c r="G1017"/>
  <c r="H1016"/>
  <c r="G1016"/>
  <c r="H1015"/>
  <c r="G1015"/>
  <c r="H1014"/>
  <c r="G1014"/>
  <c r="H1013"/>
  <c r="G1013"/>
  <c r="H1012"/>
  <c r="G1012"/>
  <c r="H1011"/>
  <c r="G1011"/>
  <c r="H1010"/>
  <c r="G1010"/>
  <c r="H1009"/>
  <c r="G1009"/>
  <c r="H1008"/>
  <c r="G1008"/>
  <c r="H1007"/>
  <c r="G1007"/>
  <c r="H1005"/>
  <c r="G1005"/>
  <c r="H1004"/>
  <c r="G1004"/>
  <c r="H1003"/>
  <c r="G1003"/>
  <c r="H1002"/>
  <c r="G1002"/>
  <c r="H1001"/>
  <c r="G1001"/>
  <c r="H1000"/>
  <c r="G1000"/>
  <c r="H999"/>
  <c r="G999"/>
  <c r="H998"/>
  <c r="G998"/>
  <c r="H997"/>
  <c r="G997"/>
  <c r="H996"/>
  <c r="G996"/>
  <c r="H995"/>
  <c r="G995"/>
  <c r="H994"/>
  <c r="G994"/>
  <c r="H993"/>
  <c r="G993"/>
  <c r="H992"/>
  <c r="G992"/>
  <c r="H991"/>
  <c r="G991"/>
  <c r="H990"/>
  <c r="G990"/>
  <c r="H988"/>
  <c r="G988"/>
  <c r="H987"/>
  <c r="G987"/>
  <c r="H986"/>
  <c r="G986"/>
  <c r="H984"/>
  <c r="G984"/>
  <c r="H983"/>
  <c r="G983"/>
  <c r="H982"/>
  <c r="G982"/>
  <c r="H981"/>
  <c r="G981"/>
  <c r="H980"/>
  <c r="G980"/>
  <c r="H979"/>
  <c r="G979"/>
  <c r="H978"/>
  <c r="G978"/>
  <c r="H977"/>
  <c r="G977"/>
  <c r="H976"/>
  <c r="G976"/>
  <c r="H975"/>
  <c r="G975"/>
  <c r="H974"/>
  <c r="G974"/>
  <c r="H973"/>
  <c r="G973"/>
  <c r="H972"/>
  <c r="G972"/>
  <c r="H971"/>
  <c r="G971"/>
  <c r="H970"/>
  <c r="G970"/>
  <c r="H969"/>
  <c r="G969"/>
  <c r="H968"/>
  <c r="G968"/>
  <c r="H967"/>
  <c r="G967"/>
  <c r="H966"/>
  <c r="G966"/>
  <c r="H965"/>
  <c r="G965"/>
  <c r="H964"/>
  <c r="G964"/>
  <c r="H963"/>
  <c r="G963"/>
  <c r="H962"/>
  <c r="G962"/>
  <c r="H961"/>
  <c r="G961"/>
  <c r="H960"/>
  <c r="G960"/>
  <c r="H959"/>
  <c r="G959"/>
  <c r="H958"/>
  <c r="G958"/>
  <c r="H957"/>
  <c r="G957"/>
  <c r="H956"/>
  <c r="G956"/>
  <c r="H954"/>
  <c r="G954"/>
  <c r="H953"/>
  <c r="G953"/>
  <c r="H952"/>
  <c r="G952"/>
  <c r="H951"/>
  <c r="G951"/>
  <c r="H950"/>
  <c r="G950"/>
  <c r="H949"/>
  <c r="G949"/>
  <c r="H948"/>
  <c r="G948"/>
  <c r="H947"/>
  <c r="G947"/>
  <c r="H946"/>
  <c r="G946"/>
  <c r="H945"/>
  <c r="G945"/>
  <c r="H944"/>
  <c r="G944"/>
  <c r="H943"/>
  <c r="G943"/>
  <c r="H942"/>
  <c r="G942"/>
  <c r="H941"/>
  <c r="G941"/>
  <c r="H940"/>
  <c r="G940"/>
  <c r="H939"/>
  <c r="G939"/>
  <c r="H938"/>
  <c r="G938"/>
  <c r="H937"/>
  <c r="G937"/>
  <c r="H936"/>
  <c r="G936"/>
  <c r="H935"/>
  <c r="G935"/>
  <c r="H934"/>
  <c r="G934"/>
  <c r="H933"/>
  <c r="G933"/>
  <c r="H932"/>
  <c r="G932"/>
  <c r="H931"/>
  <c r="G931"/>
  <c r="H930"/>
  <c r="G930"/>
  <c r="H929"/>
  <c r="G929"/>
  <c r="H928"/>
  <c r="G928"/>
  <c r="H927"/>
  <c r="G927"/>
  <c r="H926"/>
  <c r="G926"/>
  <c r="H925"/>
  <c r="G925"/>
  <c r="H924"/>
  <c r="G924"/>
  <c r="H923"/>
  <c r="G923"/>
  <c r="H922"/>
  <c r="G922"/>
  <c r="H921"/>
  <c r="G921"/>
  <c r="H920"/>
  <c r="G920"/>
  <c r="H919"/>
  <c r="G919"/>
  <c r="H918"/>
  <c r="G918"/>
  <c r="H917"/>
  <c r="G917"/>
  <c r="H916"/>
  <c r="G916"/>
  <c r="H915"/>
  <c r="G915"/>
  <c r="H914"/>
  <c r="G914"/>
  <c r="H913"/>
  <c r="G913"/>
  <c r="H912"/>
  <c r="G912"/>
  <c r="H911"/>
  <c r="G911"/>
  <c r="H910"/>
  <c r="G910"/>
  <c r="H909"/>
  <c r="G909"/>
  <c r="H908"/>
  <c r="G908"/>
  <c r="H907"/>
  <c r="G907"/>
  <c r="H906"/>
  <c r="G906"/>
  <c r="H905"/>
  <c r="G905"/>
  <c r="H904"/>
  <c r="G904"/>
  <c r="H903"/>
  <c r="G903"/>
  <c r="H902"/>
  <c r="G902"/>
  <c r="H901"/>
  <c r="G901"/>
  <c r="H900"/>
  <c r="G900"/>
  <c r="H899"/>
  <c r="G899"/>
  <c r="H898"/>
  <c r="G898"/>
  <c r="H897"/>
  <c r="G897"/>
  <c r="H896"/>
  <c r="G896"/>
  <c r="H895"/>
  <c r="G895"/>
  <c r="H894"/>
  <c r="G894"/>
  <c r="H893"/>
  <c r="G893"/>
  <c r="H892"/>
  <c r="G892"/>
  <c r="H891"/>
  <c r="G891"/>
  <c r="H890"/>
  <c r="G890"/>
  <c r="H889"/>
  <c r="G889"/>
  <c r="H888"/>
  <c r="G888"/>
  <c r="H887"/>
  <c r="G887"/>
  <c r="H886"/>
  <c r="G886"/>
  <c r="H885"/>
  <c r="G885"/>
  <c r="H884"/>
  <c r="G884"/>
  <c r="H883"/>
  <c r="G883"/>
  <c r="H882"/>
  <c r="G882"/>
  <c r="H881"/>
  <c r="G881"/>
  <c r="H880"/>
  <c r="G880"/>
  <c r="H879"/>
  <c r="G879"/>
  <c r="H878"/>
  <c r="G878"/>
  <c r="H877"/>
  <c r="G877"/>
  <c r="H876"/>
  <c r="G876"/>
  <c r="H875"/>
  <c r="G875"/>
  <c r="H874"/>
  <c r="G874"/>
  <c r="H873"/>
  <c r="G873"/>
  <c r="H872"/>
  <c r="G872"/>
  <c r="H871"/>
  <c r="G871"/>
  <c r="H870"/>
  <c r="G870"/>
  <c r="H869"/>
  <c r="G869"/>
  <c r="H868"/>
  <c r="G868"/>
  <c r="H867"/>
  <c r="G867"/>
  <c r="H866"/>
  <c r="G866"/>
  <c r="H865"/>
  <c r="G865"/>
  <c r="H864"/>
  <c r="G864"/>
  <c r="H863"/>
  <c r="G863"/>
  <c r="H862"/>
  <c r="G862"/>
  <c r="H861"/>
  <c r="G861"/>
  <c r="H860"/>
  <c r="G860"/>
  <c r="H859"/>
  <c r="G859"/>
  <c r="H858"/>
  <c r="G858"/>
  <c r="H857"/>
  <c r="G857"/>
  <c r="H855"/>
  <c r="G855"/>
  <c r="H854"/>
  <c r="G854"/>
  <c r="H853"/>
  <c r="G853"/>
  <c r="H852"/>
  <c r="G852"/>
  <c r="H851"/>
  <c r="G851"/>
  <c r="H850"/>
  <c r="G850"/>
  <c r="H849"/>
  <c r="G849"/>
  <c r="H848"/>
  <c r="G848"/>
  <c r="H847"/>
  <c r="G847"/>
  <c r="H846"/>
  <c r="G846"/>
  <c r="H845"/>
  <c r="G845"/>
  <c r="H844"/>
  <c r="G844"/>
  <c r="H843"/>
  <c r="G843"/>
  <c r="H842"/>
  <c r="G842"/>
  <c r="H841"/>
  <c r="G841"/>
  <c r="H840"/>
  <c r="G840"/>
  <c r="H839"/>
  <c r="G839"/>
  <c r="H838"/>
  <c r="G838"/>
  <c r="H837"/>
  <c r="G837"/>
  <c r="H836"/>
  <c r="G836"/>
  <c r="H835"/>
  <c r="G835"/>
  <c r="H834"/>
  <c r="G834"/>
  <c r="H833"/>
  <c r="G833"/>
  <c r="H832"/>
  <c r="G832"/>
  <c r="H831"/>
  <c r="G831"/>
  <c r="H830"/>
  <c r="G830"/>
  <c r="H829"/>
  <c r="G829"/>
  <c r="H828"/>
  <c r="G828"/>
  <c r="H827"/>
  <c r="G827"/>
  <c r="H826"/>
  <c r="G826"/>
  <c r="H825"/>
  <c r="G825"/>
  <c r="H824"/>
  <c r="G824"/>
  <c r="H823"/>
  <c r="G823"/>
  <c r="H822"/>
  <c r="G822"/>
  <c r="H821"/>
  <c r="G821"/>
  <c r="H820"/>
  <c r="G820"/>
  <c r="H819"/>
  <c r="G819"/>
  <c r="H818"/>
  <c r="G818"/>
  <c r="H817"/>
  <c r="G817"/>
  <c r="H816"/>
  <c r="G816"/>
  <c r="H815"/>
  <c r="G815"/>
  <c r="H814"/>
  <c r="G814"/>
  <c r="H813"/>
  <c r="G813"/>
  <c r="H812"/>
  <c r="G812"/>
  <c r="H811"/>
  <c r="G811"/>
  <c r="H810"/>
  <c r="G810"/>
  <c r="H809"/>
  <c r="G809"/>
  <c r="H808"/>
  <c r="G808"/>
  <c r="H807"/>
  <c r="G807"/>
  <c r="H806"/>
  <c r="G806"/>
  <c r="H805"/>
  <c r="G805"/>
  <c r="H804"/>
  <c r="G804"/>
  <c r="H803"/>
  <c r="G803"/>
  <c r="H802"/>
  <c r="G802"/>
  <c r="H801"/>
  <c r="G801"/>
  <c r="H800"/>
  <c r="G800"/>
  <c r="H799"/>
  <c r="G799"/>
  <c r="H798"/>
  <c r="G798"/>
  <c r="H797"/>
  <c r="G797"/>
  <c r="H796"/>
  <c r="G796"/>
  <c r="H795"/>
  <c r="G795"/>
  <c r="H794"/>
  <c r="G794"/>
  <c r="H793"/>
  <c r="G793"/>
  <c r="H792"/>
  <c r="G792"/>
  <c r="H791"/>
  <c r="G791"/>
  <c r="H790"/>
  <c r="G790"/>
  <c r="H789"/>
  <c r="G789"/>
  <c r="H788"/>
  <c r="G788"/>
  <c r="H787"/>
  <c r="G787"/>
  <c r="H785"/>
  <c r="G785"/>
  <c r="H784"/>
  <c r="G784"/>
  <c r="H783"/>
  <c r="G783"/>
  <c r="H782"/>
  <c r="G782"/>
  <c r="H781"/>
  <c r="G781"/>
  <c r="H780"/>
  <c r="G780"/>
  <c r="H779"/>
  <c r="G779"/>
  <c r="H778"/>
  <c r="G778"/>
  <c r="H777"/>
  <c r="G777"/>
  <c r="H776"/>
  <c r="G776"/>
  <c r="H775"/>
  <c r="G775"/>
  <c r="H774"/>
  <c r="G774"/>
  <c r="H773"/>
  <c r="G773"/>
  <c r="H772"/>
  <c r="G772"/>
  <c r="H771"/>
  <c r="G771"/>
  <c r="H770"/>
  <c r="G770"/>
  <c r="H769"/>
  <c r="G769"/>
  <c r="H768"/>
  <c r="G768"/>
  <c r="H767"/>
  <c r="G767"/>
  <c r="H766"/>
  <c r="G766"/>
  <c r="H765"/>
  <c r="G765"/>
  <c r="H764"/>
  <c r="G764"/>
  <c r="H763"/>
  <c r="G763"/>
  <c r="H762"/>
  <c r="G762"/>
  <c r="H761"/>
  <c r="G761"/>
  <c r="H760"/>
  <c r="G760"/>
  <c r="H759"/>
  <c r="G759"/>
  <c r="H758"/>
  <c r="G758"/>
  <c r="H757"/>
  <c r="G757"/>
  <c r="H756"/>
  <c r="G756"/>
  <c r="H755"/>
  <c r="G755"/>
  <c r="H754"/>
  <c r="G754"/>
  <c r="H753"/>
  <c r="G753"/>
  <c r="H752"/>
  <c r="G752"/>
  <c r="H751"/>
  <c r="G751"/>
  <c r="H750"/>
  <c r="G750"/>
  <c r="H749"/>
  <c r="G749"/>
  <c r="H748"/>
  <c r="G748"/>
  <c r="H747"/>
  <c r="G747"/>
  <c r="H746"/>
  <c r="G746"/>
  <c r="H745"/>
  <c r="G745"/>
  <c r="H744"/>
  <c r="G744"/>
  <c r="H743"/>
  <c r="G743"/>
  <c r="H742"/>
  <c r="G742"/>
  <c r="H741"/>
  <c r="G741"/>
  <c r="H740"/>
  <c r="G740"/>
  <c r="H739"/>
  <c r="G739"/>
  <c r="H737"/>
  <c r="G737"/>
  <c r="H736"/>
  <c r="G736"/>
  <c r="H735"/>
  <c r="G735"/>
  <c r="H734"/>
  <c r="G734"/>
  <c r="H733"/>
  <c r="G733"/>
  <c r="H732"/>
  <c r="G732"/>
  <c r="H731"/>
  <c r="G731"/>
  <c r="H730"/>
  <c r="G730"/>
  <c r="H729"/>
  <c r="G729"/>
  <c r="H728"/>
  <c r="G728"/>
  <c r="H727"/>
  <c r="G727"/>
  <c r="H726"/>
  <c r="G726"/>
  <c r="H725"/>
  <c r="G725"/>
  <c r="H724"/>
  <c r="G724"/>
  <c r="H723"/>
  <c r="G723"/>
  <c r="H722"/>
  <c r="G722"/>
  <c r="H721"/>
  <c r="G721"/>
  <c r="H720"/>
  <c r="G720"/>
  <c r="H719"/>
  <c r="G719"/>
  <c r="H718"/>
  <c r="G718"/>
  <c r="H717"/>
  <c r="G717"/>
  <c r="H716"/>
  <c r="G716"/>
  <c r="H715"/>
  <c r="G715"/>
  <c r="H714"/>
  <c r="G714"/>
  <c r="H713"/>
  <c r="G713"/>
  <c r="H712"/>
  <c r="G712"/>
  <c r="H711"/>
  <c r="G711"/>
  <c r="H710"/>
  <c r="G710"/>
  <c r="H709"/>
  <c r="G709"/>
  <c r="H708"/>
  <c r="G708"/>
  <c r="H707"/>
  <c r="G707"/>
  <c r="H706"/>
  <c r="G706"/>
  <c r="H705"/>
  <c r="G705"/>
  <c r="H704"/>
  <c r="G704"/>
  <c r="H703"/>
  <c r="G703"/>
  <c r="H702"/>
  <c r="G702"/>
  <c r="H701"/>
  <c r="G701"/>
  <c r="H700"/>
  <c r="G700"/>
  <c r="H699"/>
  <c r="G699"/>
  <c r="H698"/>
  <c r="G698"/>
  <c r="H697"/>
  <c r="G697"/>
  <c r="H696"/>
  <c r="G696"/>
  <c r="H695"/>
  <c r="G695"/>
  <c r="H694"/>
  <c r="G694"/>
  <c r="H693"/>
  <c r="G693"/>
  <c r="H692"/>
  <c r="G692"/>
  <c r="H691"/>
  <c r="G691"/>
  <c r="H690"/>
  <c r="G690"/>
  <c r="H689"/>
  <c r="G689"/>
  <c r="H688"/>
  <c r="G688"/>
  <c r="H687"/>
  <c r="G687"/>
  <c r="H686"/>
  <c r="G686"/>
  <c r="H685"/>
  <c r="G685"/>
  <c r="H684"/>
  <c r="G684"/>
  <c r="H683"/>
  <c r="G683"/>
  <c r="H682"/>
  <c r="G682"/>
  <c r="H681"/>
  <c r="G681"/>
  <c r="H680"/>
  <c r="G680"/>
  <c r="H679"/>
  <c r="G679"/>
  <c r="H678"/>
  <c r="G678"/>
  <c r="H677"/>
  <c r="G677"/>
  <c r="H676"/>
  <c r="G676"/>
  <c r="H675"/>
  <c r="G675"/>
  <c r="H674"/>
  <c r="G674"/>
  <c r="H673"/>
  <c r="G673"/>
  <c r="H672"/>
  <c r="G672"/>
  <c r="H671"/>
  <c r="G671"/>
  <c r="H670"/>
  <c r="G670"/>
  <c r="H669"/>
  <c r="G669"/>
  <c r="H668"/>
  <c r="G668"/>
  <c r="H667"/>
  <c r="G667"/>
  <c r="H666"/>
  <c r="G666"/>
  <c r="H665"/>
  <c r="G665"/>
  <c r="H664"/>
  <c r="G664"/>
  <c r="H663"/>
  <c r="G663"/>
  <c r="H661"/>
  <c r="G661"/>
  <c r="H660"/>
  <c r="G660"/>
  <c r="H659"/>
  <c r="G659"/>
  <c r="H658"/>
  <c r="G658"/>
  <c r="H657"/>
  <c r="G657"/>
  <c r="H656"/>
  <c r="G656"/>
  <c r="H655"/>
  <c r="G655"/>
  <c r="H654"/>
  <c r="G654"/>
  <c r="H653"/>
  <c r="G653"/>
  <c r="H652"/>
  <c r="G652"/>
  <c r="H651"/>
  <c r="G651"/>
  <c r="H650"/>
  <c r="G650"/>
  <c r="H649"/>
  <c r="G649"/>
  <c r="H648"/>
  <c r="G648"/>
  <c r="H647"/>
  <c r="G647"/>
  <c r="H646"/>
  <c r="G646"/>
  <c r="H645"/>
  <c r="G645"/>
  <c r="H644"/>
  <c r="G644"/>
  <c r="H643"/>
  <c r="G643"/>
  <c r="H642"/>
  <c r="G642"/>
  <c r="H641"/>
  <c r="G641"/>
  <c r="H640"/>
  <c r="G640"/>
  <c r="H639"/>
  <c r="G639"/>
  <c r="H638"/>
  <c r="G638"/>
  <c r="H637"/>
  <c r="G637"/>
  <c r="H636"/>
  <c r="G636"/>
  <c r="H635"/>
  <c r="G635"/>
  <c r="H634"/>
  <c r="G634"/>
  <c r="H633"/>
  <c r="G633"/>
  <c r="H632"/>
  <c r="G632"/>
  <c r="H631"/>
  <c r="G631"/>
  <c r="H630"/>
  <c r="G630"/>
  <c r="H629"/>
  <c r="G629"/>
  <c r="H628"/>
  <c r="G628"/>
  <c r="H627"/>
  <c r="G627"/>
  <c r="H626"/>
  <c r="G626"/>
  <c r="H625"/>
  <c r="G625"/>
  <c r="H624"/>
  <c r="G624"/>
  <c r="H623"/>
  <c r="G623"/>
  <c r="H622"/>
  <c r="G622"/>
  <c r="H621"/>
  <c r="G621"/>
  <c r="H620"/>
  <c r="G620"/>
  <c r="H619"/>
  <c r="G619"/>
  <c r="H618"/>
  <c r="G618"/>
  <c r="H617"/>
  <c r="G617"/>
  <c r="H616"/>
  <c r="G616"/>
  <c r="H615"/>
  <c r="G615"/>
  <c r="H614"/>
  <c r="G614"/>
  <c r="H613"/>
  <c r="G613"/>
  <c r="H612"/>
  <c r="G612"/>
  <c r="H611"/>
  <c r="G611"/>
  <c r="H610"/>
  <c r="G610"/>
  <c r="H609"/>
  <c r="G609"/>
  <c r="H608"/>
  <c r="G608"/>
  <c r="H607"/>
  <c r="G607"/>
  <c r="H606"/>
  <c r="G606"/>
  <c r="H605"/>
  <c r="G605"/>
  <c r="H604"/>
  <c r="G604"/>
  <c r="H603"/>
  <c r="G603"/>
  <c r="H602"/>
  <c r="G602"/>
  <c r="H601"/>
  <c r="G601"/>
  <c r="H600"/>
  <c r="G600"/>
  <c r="H599"/>
  <c r="G599"/>
  <c r="H598"/>
  <c r="G598"/>
  <c r="H597"/>
  <c r="G597"/>
  <c r="H596"/>
  <c r="G596"/>
  <c r="H595"/>
  <c r="G595"/>
  <c r="H594"/>
  <c r="G594"/>
  <c r="H593"/>
  <c r="G593"/>
  <c r="H592"/>
  <c r="G592"/>
  <c r="H591"/>
  <c r="G591"/>
  <c r="H590"/>
  <c r="G590"/>
  <c r="H589"/>
  <c r="G589"/>
  <c r="H588"/>
  <c r="G588"/>
  <c r="H587"/>
  <c r="G587"/>
  <c r="H586"/>
  <c r="G586"/>
  <c r="H585"/>
  <c r="G585"/>
  <c r="H584"/>
  <c r="G584"/>
  <c r="H583"/>
  <c r="G583"/>
  <c r="H582"/>
  <c r="G582"/>
  <c r="H581"/>
  <c r="G581"/>
  <c r="H580"/>
  <c r="G580"/>
  <c r="H579"/>
  <c r="G579"/>
  <c r="H578"/>
  <c r="G578"/>
  <c r="H577"/>
  <c r="G577"/>
  <c r="H576"/>
  <c r="G576"/>
  <c r="H575"/>
  <c r="G575"/>
  <c r="H574"/>
  <c r="G574"/>
  <c r="H573"/>
  <c r="G573"/>
  <c r="H572"/>
  <c r="G572"/>
  <c r="H571"/>
  <c r="G571"/>
  <c r="H570"/>
  <c r="G570"/>
  <c r="H569"/>
  <c r="G569"/>
  <c r="H568"/>
  <c r="G568"/>
  <c r="H567"/>
  <c r="G567"/>
  <c r="H566"/>
  <c r="G566"/>
  <c r="H565"/>
  <c r="G565"/>
  <c r="H564"/>
  <c r="G564"/>
  <c r="H563"/>
  <c r="G563"/>
  <c r="H562"/>
  <c r="G562"/>
  <c r="H561"/>
  <c r="G561"/>
  <c r="H560"/>
  <c r="G560"/>
  <c r="H559"/>
  <c r="G559"/>
  <c r="H558"/>
  <c r="G558"/>
  <c r="H557"/>
  <c r="G557"/>
  <c r="H556"/>
  <c r="G556"/>
  <c r="H555"/>
  <c r="G555"/>
  <c r="H554"/>
  <c r="G554"/>
  <c r="H553"/>
  <c r="G553"/>
  <c r="H552"/>
  <c r="G552"/>
  <c r="H551"/>
  <c r="G551"/>
  <c r="H550"/>
  <c r="G550"/>
  <c r="H549"/>
  <c r="G549"/>
  <c r="H548"/>
  <c r="G548"/>
  <c r="H547"/>
  <c r="G547"/>
  <c r="H546"/>
  <c r="G546"/>
  <c r="H545"/>
  <c r="G545"/>
  <c r="H544"/>
  <c r="G544"/>
  <c r="H543"/>
  <c r="G543"/>
  <c r="H542"/>
  <c r="G542"/>
  <c r="H541"/>
  <c r="G541"/>
  <c r="H540"/>
  <c r="G540"/>
  <c r="H539"/>
  <c r="G539"/>
  <c r="H538"/>
  <c r="G538"/>
  <c r="H537"/>
  <c r="G537"/>
  <c r="H536"/>
  <c r="G536"/>
  <c r="H535"/>
  <c r="G535"/>
  <c r="H534"/>
  <c r="G534"/>
  <c r="H533"/>
  <c r="G533"/>
  <c r="H532"/>
  <c r="G532"/>
  <c r="H531"/>
  <c r="G531"/>
  <c r="H530"/>
  <c r="G530"/>
  <c r="H529"/>
  <c r="G529"/>
  <c r="H528"/>
  <c r="G528"/>
  <c r="H527"/>
  <c r="G527"/>
  <c r="H526"/>
  <c r="G526"/>
  <c r="H525"/>
  <c r="G525"/>
  <c r="H524"/>
  <c r="G524"/>
  <c r="H523"/>
  <c r="G523"/>
  <c r="H522"/>
  <c r="G522"/>
  <c r="H521"/>
  <c r="G521"/>
  <c r="H520"/>
  <c r="G520"/>
  <c r="H519"/>
  <c r="G519"/>
  <c r="H518"/>
  <c r="G518"/>
  <c r="H517"/>
  <c r="G517"/>
  <c r="H516"/>
  <c r="G516"/>
  <c r="H515"/>
  <c r="G515"/>
  <c r="H514"/>
  <c r="G514"/>
  <c r="H512"/>
  <c r="G512"/>
  <c r="H511"/>
  <c r="G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H490"/>
  <c r="G490"/>
  <c r="H489"/>
  <c r="G489"/>
  <c r="H488"/>
  <c r="G488"/>
  <c r="H487"/>
  <c r="G487"/>
  <c r="H486"/>
  <c r="G486"/>
  <c r="H485"/>
  <c r="G485"/>
  <c r="H484"/>
  <c r="G484"/>
  <c r="H483"/>
  <c r="G483"/>
  <c r="H482"/>
  <c r="G482"/>
  <c r="H481"/>
  <c r="G481"/>
  <c r="H480"/>
  <c r="G480"/>
  <c r="H479"/>
  <c r="G479"/>
  <c r="H478"/>
  <c r="G478"/>
  <c r="H477"/>
  <c r="G477"/>
  <c r="H476"/>
  <c r="G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H455"/>
  <c r="G455"/>
  <c r="H454"/>
  <c r="G454"/>
  <c r="H453"/>
  <c r="G453"/>
  <c r="H452"/>
  <c r="G452"/>
  <c r="H451"/>
  <c r="G451"/>
  <c r="H450"/>
  <c r="G450"/>
  <c r="H448"/>
  <c r="G448"/>
  <c r="H447"/>
  <c r="G447"/>
  <c r="H446"/>
  <c r="G446"/>
  <c r="H445"/>
  <c r="G445"/>
  <c r="H444"/>
  <c r="G444"/>
  <c r="H443"/>
  <c r="G443"/>
  <c r="H442"/>
  <c r="G442"/>
  <c r="H441"/>
  <c r="G441"/>
  <c r="H440"/>
  <c r="G440"/>
  <c r="H439"/>
  <c r="G439"/>
  <c r="H438"/>
  <c r="G438"/>
  <c r="H437"/>
  <c r="G437"/>
  <c r="H436"/>
  <c r="G436"/>
  <c r="H435"/>
  <c r="G435"/>
  <c r="H434"/>
  <c r="G434"/>
  <c r="H433"/>
  <c r="G433"/>
  <c r="H432"/>
  <c r="G432"/>
  <c r="H431"/>
  <c r="G431"/>
  <c r="H430"/>
  <c r="G430"/>
  <c r="H429"/>
  <c r="G429"/>
  <c r="H428"/>
  <c r="G428"/>
  <c r="H427"/>
  <c r="G427"/>
  <c r="H426"/>
  <c r="G426"/>
  <c r="H425"/>
  <c r="G425"/>
  <c r="H424"/>
  <c r="G424"/>
  <c r="H423"/>
  <c r="G423"/>
  <c r="H422"/>
  <c r="G422"/>
  <c r="H421"/>
  <c r="G421"/>
  <c r="H420"/>
  <c r="G420"/>
  <c r="H419"/>
  <c r="G419"/>
  <c r="H418"/>
  <c r="G418"/>
  <c r="H417"/>
  <c r="G417"/>
  <c r="H416"/>
  <c r="G416"/>
  <c r="H415"/>
  <c r="G415"/>
  <c r="H414"/>
  <c r="G414"/>
  <c r="H413"/>
  <c r="G413"/>
  <c r="H412"/>
  <c r="G412"/>
  <c r="H411"/>
  <c r="G411"/>
  <c r="H410"/>
  <c r="G410"/>
  <c r="H409"/>
  <c r="G409"/>
  <c r="H408"/>
  <c r="G408"/>
  <c r="H407"/>
  <c r="G407"/>
  <c r="H406"/>
  <c r="G406"/>
  <c r="H405"/>
  <c r="G405"/>
  <c r="H404"/>
  <c r="G404"/>
  <c r="H403"/>
  <c r="G403"/>
  <c r="H402"/>
  <c r="G402"/>
  <c r="H401"/>
  <c r="G401"/>
  <c r="H400"/>
  <c r="G400"/>
  <c r="H399"/>
  <c r="G399"/>
  <c r="H398"/>
  <c r="G398"/>
  <c r="H397"/>
  <c r="G397"/>
  <c r="H396"/>
  <c r="G396"/>
  <c r="H395"/>
  <c r="G395"/>
  <c r="H394"/>
  <c r="G394"/>
  <c r="H393"/>
  <c r="G393"/>
  <c r="H392"/>
  <c r="G392"/>
  <c r="H391"/>
  <c r="G391"/>
  <c r="H390"/>
  <c r="G390"/>
  <c r="H389"/>
  <c r="G389"/>
  <c r="H388"/>
  <c r="G388"/>
  <c r="H387"/>
  <c r="G387"/>
  <c r="H386"/>
  <c r="G386"/>
  <c r="H385"/>
  <c r="G385"/>
  <c r="H384"/>
  <c r="G384"/>
  <c r="H383"/>
  <c r="G383"/>
  <c r="H382"/>
  <c r="G382"/>
  <c r="H381"/>
  <c r="G381"/>
  <c r="H380"/>
  <c r="G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3"/>
  <c r="G363"/>
  <c r="H362"/>
  <c r="G362"/>
  <c r="H361"/>
  <c r="G361"/>
  <c r="H360"/>
  <c r="G360"/>
  <c r="H359"/>
  <c r="G359"/>
  <c r="H358"/>
  <c r="G358"/>
  <c r="H357"/>
  <c r="G357"/>
  <c r="H356"/>
  <c r="G356"/>
  <c r="H355"/>
  <c r="G355"/>
  <c r="H354"/>
  <c r="G354"/>
  <c r="H353"/>
  <c r="G353"/>
  <c r="H352"/>
  <c r="G352"/>
  <c r="H351"/>
  <c r="G351"/>
  <c r="H350"/>
  <c r="G350"/>
  <c r="H349"/>
  <c r="G349"/>
  <c r="H348"/>
  <c r="G348"/>
  <c r="H347"/>
  <c r="G347"/>
  <c r="H346"/>
  <c r="G346"/>
  <c r="H345"/>
  <c r="G345"/>
  <c r="H344"/>
  <c r="G344"/>
  <c r="H343"/>
  <c r="G343"/>
  <c r="H342"/>
  <c r="G342"/>
  <c r="H341"/>
  <c r="G341"/>
  <c r="H340"/>
  <c r="G340"/>
  <c r="H339"/>
  <c r="G339"/>
  <c r="H338"/>
  <c r="G338"/>
  <c r="H337"/>
  <c r="G337"/>
  <c r="H336"/>
  <c r="G336"/>
  <c r="H335"/>
  <c r="G335"/>
  <c r="H334"/>
  <c r="G334"/>
  <c r="H333"/>
  <c r="G333"/>
  <c r="H332"/>
  <c r="G332"/>
  <c r="H331"/>
  <c r="G331"/>
  <c r="H330"/>
  <c r="G330"/>
  <c r="H329"/>
  <c r="G329"/>
  <c r="H328"/>
  <c r="G328"/>
  <c r="H327"/>
  <c r="G327"/>
  <c r="H326"/>
  <c r="G326"/>
  <c r="H325"/>
  <c r="G325"/>
  <c r="H324"/>
  <c r="G324"/>
  <c r="H323"/>
  <c r="G323"/>
  <c r="H322"/>
  <c r="G322"/>
  <c r="H321"/>
  <c r="G321"/>
  <c r="H320"/>
  <c r="G320"/>
  <c r="H319"/>
  <c r="G319"/>
  <c r="H318"/>
  <c r="G318"/>
  <c r="H317"/>
  <c r="G317"/>
  <c r="H316"/>
  <c r="G316"/>
  <c r="H315"/>
  <c r="G315"/>
  <c r="H314"/>
  <c r="G314"/>
  <c r="H313"/>
  <c r="G313"/>
  <c r="H312"/>
  <c r="G312"/>
  <c r="H311"/>
  <c r="G311"/>
  <c r="H310"/>
  <c r="G310"/>
  <c r="H309"/>
  <c r="G309"/>
  <c r="H308"/>
  <c r="G308"/>
  <c r="H307"/>
  <c r="G307"/>
  <c r="H306"/>
  <c r="G306"/>
  <c r="H305"/>
  <c r="G305"/>
  <c r="H304"/>
  <c r="G304"/>
  <c r="H303"/>
  <c r="G303"/>
  <c r="H302"/>
  <c r="G302"/>
  <c r="H301"/>
  <c r="G301"/>
  <c r="H300"/>
  <c r="G300"/>
  <c r="H299"/>
  <c r="G299"/>
  <c r="H297"/>
  <c r="G297"/>
  <c r="H296"/>
  <c r="G296"/>
  <c r="H295"/>
  <c r="G295"/>
  <c r="H294"/>
  <c r="G294"/>
  <c r="H293"/>
  <c r="G293"/>
  <c r="H292"/>
  <c r="G292"/>
  <c r="H291"/>
  <c r="G291"/>
  <c r="H290"/>
  <c r="G290"/>
  <c r="H289"/>
  <c r="G289"/>
  <c r="H288"/>
  <c r="G288"/>
  <c r="H287"/>
  <c r="G287"/>
  <c r="H286"/>
  <c r="G286"/>
  <c r="H285"/>
  <c r="G285"/>
  <c r="H284"/>
  <c r="G284"/>
  <c r="H283"/>
  <c r="G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H270"/>
  <c r="G270"/>
  <c r="H269"/>
  <c r="G269"/>
  <c r="H268"/>
  <c r="G268"/>
  <c r="H267"/>
  <c r="G267"/>
  <c r="H266"/>
  <c r="G266"/>
  <c r="H265"/>
  <c r="G265"/>
  <c r="H264"/>
  <c r="G264"/>
  <c r="H263"/>
  <c r="G263"/>
  <c r="H262"/>
  <c r="G262"/>
  <c r="H261"/>
  <c r="G261"/>
  <c r="H260"/>
  <c r="G260"/>
  <c r="H259"/>
  <c r="G259"/>
  <c r="H258"/>
  <c r="G258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H244"/>
  <c r="G244"/>
  <c r="H243"/>
  <c r="G243"/>
  <c r="H242"/>
  <c r="G242"/>
  <c r="H241"/>
  <c r="G241"/>
  <c r="H240"/>
  <c r="G240"/>
  <c r="H239"/>
  <c r="G239"/>
  <c r="H238"/>
  <c r="G238"/>
  <c r="H237"/>
  <c r="G237"/>
  <c r="H236"/>
  <c r="G236"/>
  <c r="H235"/>
  <c r="G235"/>
  <c r="H234"/>
  <c r="G234"/>
  <c r="H233"/>
  <c r="G233"/>
  <c r="H232"/>
  <c r="G232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H221"/>
  <c r="G221"/>
  <c r="H220"/>
  <c r="G220"/>
  <c r="H219"/>
  <c r="G219"/>
  <c r="H218"/>
  <c r="G218"/>
  <c r="H217"/>
  <c r="G217"/>
  <c r="H216"/>
  <c r="G216"/>
  <c r="H215"/>
  <c r="G215"/>
  <c r="H214"/>
  <c r="G214"/>
  <c r="H213"/>
  <c r="G213"/>
  <c r="H212"/>
  <c r="G212"/>
  <c r="H211"/>
  <c r="G211"/>
  <c r="H210"/>
  <c r="G210"/>
  <c r="H209"/>
  <c r="G209"/>
  <c r="H208"/>
  <c r="G208"/>
  <c r="H207"/>
  <c r="G207"/>
  <c r="H206"/>
  <c r="G206"/>
  <c r="H205"/>
  <c r="G205"/>
  <c r="H204"/>
  <c r="G204"/>
  <c r="H203"/>
  <c r="G203"/>
  <c r="H202"/>
  <c r="G202"/>
  <c r="H201"/>
  <c r="G201"/>
  <c r="H200"/>
  <c r="G200"/>
  <c r="H199"/>
  <c r="G199"/>
  <c r="H198"/>
  <c r="G198"/>
  <c r="H197"/>
  <c r="G197"/>
  <c r="H196"/>
  <c r="G196"/>
  <c r="H195"/>
  <c r="G195"/>
  <c r="H194"/>
  <c r="G194"/>
  <c r="H193"/>
  <c r="G193"/>
  <c r="H192"/>
  <c r="G192"/>
  <c r="H191"/>
  <c r="G191"/>
  <c r="H190"/>
  <c r="G190"/>
  <c r="H189"/>
  <c r="G189"/>
  <c r="H188"/>
  <c r="G188"/>
  <c r="H187"/>
  <c r="G187"/>
  <c r="H186"/>
  <c r="G186"/>
  <c r="H185"/>
  <c r="G185"/>
  <c r="H184"/>
  <c r="G184"/>
  <c r="H183"/>
  <c r="G183"/>
  <c r="H182"/>
  <c r="G182"/>
  <c r="H181"/>
  <c r="G181"/>
  <c r="H180"/>
  <c r="G180"/>
  <c r="H179"/>
  <c r="G179"/>
  <c r="H178"/>
  <c r="G178"/>
  <c r="H176"/>
  <c r="G176"/>
  <c r="H175"/>
  <c r="G175"/>
  <c r="H174"/>
  <c r="G174"/>
  <c r="H173"/>
  <c r="G173"/>
  <c r="H172"/>
  <c r="G172"/>
  <c r="H171"/>
  <c r="G171"/>
  <c r="H170"/>
  <c r="G170"/>
  <c r="H169"/>
  <c r="G169"/>
  <c r="H168"/>
  <c r="G168"/>
  <c r="H167"/>
  <c r="G167"/>
  <c r="H166"/>
  <c r="G166"/>
  <c r="H165"/>
  <c r="G165"/>
  <c r="H164"/>
  <c r="G164"/>
  <c r="H163"/>
  <c r="G163"/>
  <c r="H162"/>
  <c r="G162"/>
  <c r="H161"/>
  <c r="G161"/>
  <c r="H160"/>
  <c r="G160"/>
  <c r="H159"/>
  <c r="G159"/>
  <c r="H158"/>
  <c r="G158"/>
  <c r="H157"/>
  <c r="G157"/>
  <c r="H156"/>
  <c r="G156"/>
  <c r="H155"/>
  <c r="G155"/>
  <c r="H154"/>
  <c r="G154"/>
  <c r="H153"/>
  <c r="G153"/>
  <c r="H152"/>
  <c r="G152"/>
  <c r="H151"/>
  <c r="G151"/>
  <c r="H150"/>
  <c r="G150"/>
  <c r="H149"/>
  <c r="G149"/>
  <c r="H148"/>
  <c r="G148"/>
  <c r="H147"/>
  <c r="G147"/>
  <c r="H146"/>
  <c r="G146"/>
  <c r="H145"/>
  <c r="G145"/>
  <c r="H144"/>
  <c r="G144"/>
  <c r="H143"/>
  <c r="G143"/>
  <c r="H142"/>
  <c r="G142"/>
  <c r="H141"/>
  <c r="G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H119"/>
  <c r="G119"/>
  <c r="H118"/>
  <c r="G118"/>
  <c r="H117"/>
  <c r="G117"/>
  <c r="H116"/>
  <c r="G116"/>
  <c r="H115"/>
  <c r="G115"/>
  <c r="H114"/>
  <c r="G114"/>
  <c r="H113"/>
  <c r="G113"/>
  <c r="H112"/>
  <c r="G112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H88"/>
  <c r="G88"/>
  <c r="H87"/>
  <c r="G87"/>
  <c r="H86"/>
  <c r="G86"/>
  <c r="H85"/>
  <c r="G85"/>
  <c r="H83"/>
  <c r="G83"/>
  <c r="H82"/>
  <c r="G82"/>
  <c r="H81"/>
  <c r="G81"/>
  <c r="H80"/>
  <c r="G80"/>
  <c r="H79"/>
  <c r="G79"/>
  <c r="H78"/>
  <c r="G78"/>
  <c r="H77"/>
  <c r="G77"/>
  <c r="H76"/>
  <c r="G76"/>
  <c r="H75"/>
  <c r="G75"/>
  <c r="H74"/>
  <c r="G74"/>
  <c r="H73"/>
  <c r="G73"/>
  <c r="H72"/>
  <c r="G72"/>
  <c r="H71"/>
  <c r="G71"/>
  <c r="H70"/>
  <c r="G70"/>
  <c r="H69"/>
  <c r="G69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</calcChain>
</file>

<file path=xl/sharedStrings.xml><?xml version="1.0" encoding="utf-8"?>
<sst xmlns="http://schemas.openxmlformats.org/spreadsheetml/2006/main" count="3132" uniqueCount="1047">
  <si>
    <t>Пищевой контейнер с эффектом термоса 500мл Leo (серый)</t>
  </si>
  <si>
    <t>Пищевой контейнер с эффектом термоса 750мл Leo (синий)</t>
  </si>
  <si>
    <t>Пищевой контейнер стеклянный</t>
  </si>
  <si>
    <t>Пищевой контейнер для ланча</t>
  </si>
  <si>
    <t>Пищевой контейнер 850мл Essentials</t>
  </si>
  <si>
    <t>Миска для салата с крышкой и инструментами для сервировки 25см 3,6л CooknCo</t>
  </si>
  <si>
    <t>Набор 6пр мисок сервировочных ø16см 0,5л CooknCo</t>
  </si>
  <si>
    <t>Набор 3пр емкостей для хранения (салатовая) CooknCo</t>
  </si>
  <si>
    <t>Набор 6пр мисок с крышками (нескользящее резиновое дно) CooknCo</t>
  </si>
  <si>
    <t>09 Чайно-кофейная серия</t>
  </si>
  <si>
    <t>Набор чайный Zeno</t>
  </si>
  <si>
    <t>Чайник со свистком Lucia 2,5л</t>
  </si>
  <si>
    <t>Чайник 2в1 для плиты и заварочный 1л (металл) Ron</t>
  </si>
  <si>
    <t>Чайник 2в1 для плиты и заварочный 1л (белый) Ron</t>
  </si>
  <si>
    <t>Заварочный чайник 0,6л Hotel</t>
  </si>
  <si>
    <t>Чайник заварочный Dorado</t>
  </si>
  <si>
    <t>Заварочный чайник стеклянный 0,9л</t>
  </si>
  <si>
    <t>Заварочный чайник чугунный 1,3л (зеленый) Studio</t>
  </si>
  <si>
    <t>Заварочный чайник чугунный 1,1л (зеленый) Studio</t>
  </si>
  <si>
    <t>Чайник заварочный чугунный (белый) 0,95л Studio</t>
  </si>
  <si>
    <t>Чайник заварочный чугунный (белый) 0,75л Studio</t>
  </si>
  <si>
    <t>Чайник заварочный чугунный (белый) 0,65л Studio</t>
  </si>
  <si>
    <t>Чайник заварочный чугунный (золотой) 0,75л Studio</t>
  </si>
  <si>
    <t>Чайник заварочный чугунный (золотой) 1,0л Studio</t>
  </si>
  <si>
    <t>Чайник заварочный чугунный (золотой) 0,7л Studio</t>
  </si>
  <si>
    <t>Чайник заварочный чугунный (серый) 0,75л Studio</t>
  </si>
  <si>
    <t>Чайник заварочный чугунный (серый) 0,7л Studio</t>
  </si>
  <si>
    <t>Чайный набор чугунный (чёрный) 1,0л Studio</t>
  </si>
  <si>
    <t>Чайник заварочный чугунный (чёрный) 1,4л Studio</t>
  </si>
  <si>
    <t>Чайный набор чугунный (чёрный) 0,35л Studio</t>
  </si>
  <si>
    <t>Набор 2пр пиалы чугунные (белые) 0,11л Studio</t>
  </si>
  <si>
    <t>Набор 2пр пиалы чугунные (золотые) 0,11л Studio</t>
  </si>
  <si>
    <t>Набор 2пр пиалы чугунные (серые) 0,11л Studio</t>
  </si>
  <si>
    <t>Поршневой заварочный чайник 350мл Essentials</t>
  </si>
  <si>
    <t>Поршневой заварочный чайник 600мл Essentials</t>
  </si>
  <si>
    <t>Поршневой заварочный чайник 800мл Essentials</t>
  </si>
  <si>
    <t>Поршневой заварочный чайник 1000мл Essentials</t>
  </si>
  <si>
    <t>Френч-пресс 0,35л Studio</t>
  </si>
  <si>
    <t>Френч-пресс 0,6л Studio</t>
  </si>
  <si>
    <t>Френч-пресс 0,8л Studio</t>
  </si>
  <si>
    <t>Поршневой заварочный чайник для кофе и чая 800мл</t>
  </si>
  <si>
    <t>Поршневой заварочный чайник для кофе и чая 350мл</t>
  </si>
  <si>
    <t>Поршневой заварочный чайник для кофе и чая 600мл</t>
  </si>
  <si>
    <t>Френч-пресс 0,8л Neo</t>
  </si>
  <si>
    <t>Френч-пресс 1л Neo</t>
  </si>
  <si>
    <t>Френч-пресс 0,35л CooknCo</t>
  </si>
  <si>
    <t>Турка 0,8л Cubo</t>
  </si>
  <si>
    <t>Турка 0,3л CooknCo</t>
  </si>
  <si>
    <t>Гейзерная кофеварка 0,24л Studio</t>
  </si>
  <si>
    <t>Термос дорожный 0,5л Studio</t>
  </si>
  <si>
    <t>Термос 1л Essentials</t>
  </si>
  <si>
    <t>3пр набор походный Essentials</t>
  </si>
  <si>
    <t>Термос дорожный 0,5л Orion</t>
  </si>
  <si>
    <t>Термос дорожный 1л Orion</t>
  </si>
  <si>
    <t>Бутылка питьевая с двойными стенками 0,5л Studio</t>
  </si>
  <si>
    <t>Бутылка питьевая с двойными стенками 1л Studio</t>
  </si>
  <si>
    <t>Термос дорожный 0,5л</t>
  </si>
  <si>
    <t>Термос дорожный 1л</t>
  </si>
  <si>
    <t>Термокружка 330мл Essentials</t>
  </si>
  <si>
    <t>Термос-кофейник 1л (голубой) CooknCo</t>
  </si>
  <si>
    <t>Термокружка дорожная 0,5л Orion</t>
  </si>
  <si>
    <t>Набор 2пр чашек 0,2л (черные) Studio</t>
  </si>
  <si>
    <t>Набор 2пр чашек 0,2л (лаймовые) Studio</t>
  </si>
  <si>
    <t>Набор 2пр кружек с крышками 0,22л Lover by Lover</t>
  </si>
  <si>
    <t>Кружка для кофе с ложкой 0,5л (салатовая) CooknCo</t>
  </si>
  <si>
    <t>Бутылка для воды 500мл Leo</t>
  </si>
  <si>
    <t>Дорожная кружка фарфоровая 330мл Leo</t>
  </si>
  <si>
    <t>Термокружка 330мл розовая Leo</t>
  </si>
  <si>
    <t>Термос дорожный 0,5л Leo (розовый)</t>
  </si>
  <si>
    <t>Кружка дорожная 330мл Leo (синяя)</t>
  </si>
  <si>
    <t>Кружка дорожная 500мл Leo (серая)</t>
  </si>
  <si>
    <t>Турка Zeno 0,55 л</t>
  </si>
  <si>
    <t>Ситечко для заваривания чая 18*5см Studio</t>
  </si>
  <si>
    <t>Стержень для заваривания чая с ручкой 16*2см Studio</t>
  </si>
  <si>
    <t>Ложка для кофе с зажимом 17см</t>
  </si>
  <si>
    <t>10 Фарфор</t>
  </si>
  <si>
    <t>3пр фарфоровый набор (розовый)</t>
  </si>
  <si>
    <t>3пр фарфоровый набор (белый)</t>
  </si>
  <si>
    <t>Тарелка круглая, диаметром 308 мм., серии Hotel Line</t>
  </si>
  <si>
    <t>Тарелка 262мм Hotel</t>
  </si>
  <si>
    <t>1690025А</t>
  </si>
  <si>
    <t>Набор 2пр тарелок 260мм Hotel</t>
  </si>
  <si>
    <t>Тарелка для салата/закусок 216мм Hotel</t>
  </si>
  <si>
    <t>Тарелка для хлеба 178мм Hotel</t>
  </si>
  <si>
    <t>Тарелка для супа 215мм Hotel</t>
  </si>
  <si>
    <t>1690056А</t>
  </si>
  <si>
    <t>Набор 2пр тарелок для супа 215мм Hotel</t>
  </si>
  <si>
    <t>Кофейник с крышкой 1,24л Hotel</t>
  </si>
  <si>
    <t>Сахарница с крышкой 0,29л Hotel</t>
  </si>
  <si>
    <t>Сливочник 0,26л Hotel</t>
  </si>
  <si>
    <t>Кувшинчик для молока 0,65л Hotel</t>
  </si>
  <si>
    <t>Чашка чайная с блюдцем 0,265л Hotel</t>
  </si>
  <si>
    <t>Миска сервировочная 205мм 2,1л Hotel</t>
  </si>
  <si>
    <t>1690117А</t>
  </si>
  <si>
    <t>Солонка 12*8см Hotel</t>
  </si>
  <si>
    <t>Перечница 12*8см Hotel</t>
  </si>
  <si>
    <t>Соусник с блюдцем 0,55л Hotel</t>
  </si>
  <si>
    <t>Чайник заварочный с крышкой 1,14л Hotel</t>
  </si>
  <si>
    <t>Кружка для кофе 0,385л Hotel</t>
  </si>
  <si>
    <t>Чашка для экспрессо с блюдцем 0,095л Hotel</t>
  </si>
  <si>
    <t>Чашка для завтрака с блюдцем 0,385л Hotel</t>
  </si>
  <si>
    <t>Чашка для кофе с блюдцем средняя 0,125л Hotel</t>
  </si>
  <si>
    <t>Тарелочка для растительного масла 106мм Hotel</t>
  </si>
  <si>
    <t>Бутылочка для уксуса 0,37л Hotel</t>
  </si>
  <si>
    <t>Бутылочка для масла 0,385л Hotel</t>
  </si>
  <si>
    <t>Баночка с крышкой 196мм 2л Hotel</t>
  </si>
  <si>
    <t>1690278А</t>
  </si>
  <si>
    <t>Набор 2пр блюда овальные 30см Hotel</t>
  </si>
  <si>
    <t>Салатница 225мм 2,4л Hotel</t>
  </si>
  <si>
    <t>Мисочка для мюсли 150мм 0,7л Hotel</t>
  </si>
  <si>
    <t>Мисочка для фруктов 160мм Hotel</t>
  </si>
  <si>
    <t>Чашка для кофе с блюдцем 0,180л Hotel</t>
  </si>
  <si>
    <t>Тарелка овальная 19*25см Hotel</t>
  </si>
  <si>
    <t>Тарелка 130мм Concavo</t>
  </si>
  <si>
    <t>Тарелка 280мм Concavo</t>
  </si>
  <si>
    <t>Тарелка 340мм Concavo</t>
  </si>
  <si>
    <t>Тарелка для пасты 280мм Concavo</t>
  </si>
  <si>
    <t>Кофейник 1,2л Concavo</t>
  </si>
  <si>
    <t>Заварочный чайник 1,2л Concavo</t>
  </si>
  <si>
    <t>Миска 1л Concavo</t>
  </si>
  <si>
    <t>Миска 2,5л Concavo</t>
  </si>
  <si>
    <t>Блюдо прямоугольное сервировочное 340*184мм Concavo</t>
  </si>
  <si>
    <t>Блюдо прямоугольное сервировочное 400*216 мм Concavo</t>
  </si>
  <si>
    <t>Масленка Concavo</t>
  </si>
  <si>
    <t>Ваза 123мм Concavo</t>
  </si>
  <si>
    <t>Ваза 187мм Concavo</t>
  </si>
  <si>
    <t>Ваза 157мм Concavo</t>
  </si>
  <si>
    <t>Набор 2шт чашек для эспрессо с блюдцем 0,08л Eclipse</t>
  </si>
  <si>
    <t>Молочник 0,35л Eclipse</t>
  </si>
  <si>
    <t>Набор 4пр тарелок для пасты 24см Eclipse</t>
  </si>
  <si>
    <t>Набор 4пр тарелок круглых 22см Eclipse</t>
  </si>
  <si>
    <t>Набор 4пр тарелок круглых 25см Eclipse</t>
  </si>
  <si>
    <t>Набор 4пр тарелок круглых 28см Eclipse</t>
  </si>
  <si>
    <t>Набор 4пр тарелок для супа 20см Eclipse</t>
  </si>
  <si>
    <t>Миска для спагетти с пробковой крышкой 28см 2,5л Eclipse</t>
  </si>
  <si>
    <t>Набор 2шт чашек для кофе с блюдцем 0,18л Eclipse</t>
  </si>
  <si>
    <t>Набор 2шт чашек для чая с блюдцем 0,24л Eclipse</t>
  </si>
  <si>
    <t>Набор 2шт чашек для завтрака с блюдцем 0,4л Eclipse</t>
  </si>
  <si>
    <t>Набор 2шт кружек для кофе 0,34л Eclipse</t>
  </si>
  <si>
    <t>Сахарница с крышкой 10*10*8,5см 0,3л Eclipse</t>
  </si>
  <si>
    <t>Заварочный чайник 1,3л Eclipse</t>
  </si>
  <si>
    <t>Набор 2пр мисочек для мюсли 15см 0,65л Eclipse</t>
  </si>
  <si>
    <t>Набор 2шт мисочек для риса с палочками 11см 0,3л Eclipse</t>
  </si>
  <si>
    <t>Набор мисочек 11*10,5*4см для закусок на подставке 4пр Eclipse</t>
  </si>
  <si>
    <t>Ваза 19см Eclipse</t>
  </si>
  <si>
    <t>Ваза 16см Eclipse</t>
  </si>
  <si>
    <t>Набор 2пр вазы 12см Eclipse</t>
  </si>
  <si>
    <t>Набор 2пр подсвечники 10см Eclipse</t>
  </si>
  <si>
    <t>Масленка 18*12,5*7,5см Eclipse</t>
  </si>
  <si>
    <t>Солонка 8*4,5см Eclipse</t>
  </si>
  <si>
    <t>Перечница 8*4,5см Eclipse</t>
  </si>
  <si>
    <t>Набор 2пр тарелок для пасты 24см Eclipse ornament</t>
  </si>
  <si>
    <t>Набор 2пр тарелок круглых 22см Eclipse ornament</t>
  </si>
  <si>
    <t>Набор 2пр тарелок круглых 25см Eclipse ornament</t>
  </si>
  <si>
    <t>Набор 2пр тарелок круглых 28см Eclipse ornament</t>
  </si>
  <si>
    <t>Набор 2пр тарелок для супа 20см Eclipse ornament</t>
  </si>
  <si>
    <t>Набор 2шт чашек для кофе с блюдцем 0,18л Eclipse ornament</t>
  </si>
  <si>
    <t>Набор 2шт чашек для чая с блюдцем 0,24л Eclipse ornament</t>
  </si>
  <si>
    <t>Набор 2шт чашек для завтрака с блюдцем 0,4л Eclipse ornament</t>
  </si>
  <si>
    <t>Набор 2шт кружек для кофе 0,37л Eclipse ornament</t>
  </si>
  <si>
    <t>Набор 2пр мисочек для мюсли 15см 0,65л Eclipse ornament</t>
  </si>
  <si>
    <t>Набор 2пр мисочек для риса с палочками 11см 0,3л Eclipse ornament</t>
  </si>
  <si>
    <t>Ваза 19,5см Eclipse ornament</t>
  </si>
  <si>
    <t>Набор 2шт чашек для эспрессо с блюдцем 0,08л Eclipse ornament</t>
  </si>
  <si>
    <t>Набор сервировочный для чая/кофе 6пр Eclipse ornament</t>
  </si>
  <si>
    <t>Набор 2пр для декоррирования стола (ваза и подсвечник) Eclipse ornament</t>
  </si>
  <si>
    <t>Набор 3пр (масленка, солонка, перечница) Eclipse ornament</t>
  </si>
  <si>
    <t>Набор 2шт кружек 0,3л (фиолетовые) Lover by Lover</t>
  </si>
  <si>
    <t>Набор 2шт кружек 0,25л (белые) Lover by Lover</t>
  </si>
  <si>
    <t>Набор 2шт чашек для чая 0,22л (белые) Lover by Lover</t>
  </si>
  <si>
    <t>Заварочный чайник 1,2л (белый) Lover by Lover</t>
  </si>
  <si>
    <t>Набор 2шт кружек 0,3л (желтые) Lover by Lover</t>
  </si>
  <si>
    <t>Набор 2пр мисочек для мюсли 0,75л Lover by Lover</t>
  </si>
  <si>
    <t>Блюдо для запекания овальное 35,5*22,5*8,5см Bianco</t>
  </si>
  <si>
    <t>Блюдо для запекания овальное 43*27*9см Bianco</t>
  </si>
  <si>
    <t>Кастрюля овальная для запекания с крышкой 27*20*10,5см</t>
  </si>
  <si>
    <t>4пр набор фарфоровых декоррированных тарелок 30см</t>
  </si>
  <si>
    <t>11 Керамика</t>
  </si>
  <si>
    <t>Блюдо для запекания овальное большое Gem 41,5*27*8см</t>
  </si>
  <si>
    <t>Блюдо для запекания овальное маленькое Gem 33,5*24,5*7,5см</t>
  </si>
  <si>
    <t>4пр набор форм порционных для крем брюле Gem 12,5x12,5x3,5см</t>
  </si>
  <si>
    <t>4пр набор форм порционных больших Gem 10*10*5,5см</t>
  </si>
  <si>
    <t>4пр набор форм порционных средних Gem 9*9*5,5см</t>
  </si>
  <si>
    <t>4пр набор форм порционных маленьких Gem 9*9*4,5см</t>
  </si>
  <si>
    <t>Блюдо для запекания прямоугольное большое Gem 35,5*23,5*7см</t>
  </si>
  <si>
    <t>Блюдо для запекания прямоугольное маленькое Gem 27*17*7см</t>
  </si>
  <si>
    <t>Блюдо для запекания круглое большое Gem 32*28*7см</t>
  </si>
  <si>
    <t>Блюдо для запекания круглое маленькое Gem 24.5*21*5.5см</t>
  </si>
  <si>
    <t>Блюдо для запекания квадратное большое Gem 28*24.5*5.5см</t>
  </si>
  <si>
    <t>Блюдо для запекания квадратное маленькое Gem 24.5*20*5.5см</t>
  </si>
  <si>
    <t>Блюдо для запекания круглое 28,5*28,5*5,5см Geminis</t>
  </si>
  <si>
    <t>Набор 2шт чашек с крышкой 15*12*9,5см 0,5л Geminis</t>
  </si>
  <si>
    <t>Набор 8пр круглых форм для запекания с крышками 14,5*14,5*6,5см 0,45л Geminis</t>
  </si>
  <si>
    <t>Блюдо для запекания круглое 25,5*6см Geminis</t>
  </si>
  <si>
    <t>Блюдо для запекания круглое с крышкой 30*25,5*16см Geminis</t>
  </si>
  <si>
    <t>Миска с крышкой ø24см Ron</t>
  </si>
  <si>
    <t>Вставка-пароварка 24см Ron</t>
  </si>
  <si>
    <t>Крышка для таджина 28см Ron</t>
  </si>
  <si>
    <t>Жаровня для пиццы 38*30*1,5см Leo</t>
  </si>
  <si>
    <t>Форма для выпечки квадратная 20см (серая)</t>
  </si>
  <si>
    <t>Форма для выпечки квадратная 24см (серая)</t>
  </si>
  <si>
    <t>Форма для выпечки прямоугольная 32*24см (серая)</t>
  </si>
  <si>
    <t>Форма для выпечки овальная 26*18см (серая)</t>
  </si>
  <si>
    <t>Форма для выпечки круглая 28см (серая)</t>
  </si>
  <si>
    <t>Блюдо для запекания керамическое (размер чаши 18*12,5см)</t>
  </si>
  <si>
    <t>Набор 2пр формы для запекания порционные 10см (серая)</t>
  </si>
  <si>
    <t>Керамическое блюдо для запекания круглое 24см</t>
  </si>
  <si>
    <t>12 Посуда из жаропрочного стекла</t>
  </si>
  <si>
    <t>Блюдо для запекания стеклянное маленькое (21,5*15*5,5см 0,7л)</t>
  </si>
  <si>
    <t>Блюдо для запекания стеклянное большое (36*21*5,5см 2,2л)</t>
  </si>
  <si>
    <t>Кастрюля стеклянная с крышкой - средняя  (25*21*9,5см 1,5л)</t>
  </si>
  <si>
    <t>13 Формы для выпечки</t>
  </si>
  <si>
    <t>Противень прямоугольный с крышкой и инструментом для нарезания 36*27*5см Perfect Slice</t>
  </si>
  <si>
    <t>Набор 3шт противней с инструментом для нарезания Perfect Slice</t>
  </si>
  <si>
    <t>Форма для запекания круглая с инструментом для нарезания 30*27*5см Perfect Slice</t>
  </si>
  <si>
    <t>Форма для запекания с инструментом для нарезания 34*30*4см Perfect Slice</t>
  </si>
  <si>
    <t>Форма для запекания квадратная 22,50*28,50*4см Studio</t>
  </si>
  <si>
    <t>Форма для запекания для маффинов 19*32,50*4см Studio</t>
  </si>
  <si>
    <t>Форма для запекания силиконовая прямоугольная 29*15*6,5см Studio</t>
  </si>
  <si>
    <t>Форма для запекания силиконовая "8 сердец" 30,5*17,5*3,5см Studio</t>
  </si>
  <si>
    <t>Форма для запекания силиконовая "роза" 25*25*8см Studio</t>
  </si>
  <si>
    <t>Форма для запекания круглая 25*8см</t>
  </si>
  <si>
    <t>Форма силиконовая для кекса 27*23*10см Studio</t>
  </si>
  <si>
    <t>Противень для печенья квадратный 43*34*2,5см Earthchef</t>
  </si>
  <si>
    <t>Форма для выпечки прямоугольная 38*25*2см Earthchef</t>
  </si>
  <si>
    <t>Противень с решеткой 37,5*26*13,5см Earthchef</t>
  </si>
  <si>
    <t>Форма для запекания прямоугольная 32*26,5*5,5см 3,2л Leo</t>
  </si>
  <si>
    <t>Форма для запекания круглая 26*26*5,5см 2л Leo</t>
  </si>
  <si>
    <t>14 Бокалы и Стекло</t>
  </si>
  <si>
    <t>Набор 6пр бокалов для белого вина 250мл Chateau</t>
  </si>
  <si>
    <t>Набор 6пр бокалов для белого вина 350мл Chateau</t>
  </si>
  <si>
    <t>6пр набор бокалов для красного вина 450мл серии Chateau</t>
  </si>
  <si>
    <t>Набор 6пр бокалов для бордо 650мл Chateau</t>
  </si>
  <si>
    <t>Набор 6пр бокалов для бургундского 720мл Chateau</t>
  </si>
  <si>
    <t>Набор 6пр бокалов для ликера 100мл Chateau</t>
  </si>
  <si>
    <t>Набор 6пр рюмок 70мл Chateau</t>
  </si>
  <si>
    <t>Набор 6пр бокалов для шампанского 215мл CooknCo Casa</t>
  </si>
  <si>
    <t>Графин стеклянный для воды 1,2л Eclipse</t>
  </si>
  <si>
    <t>Графин стеклянный для чая 1,2л Eclipse</t>
  </si>
  <si>
    <t>Графин стеклянный для холодных напитков 1,2л Eclipse</t>
  </si>
  <si>
    <t>Графин стеклянный для вина 1,2л Eclipse</t>
  </si>
  <si>
    <t>15 Гриль и BBQ</t>
  </si>
  <si>
    <t>Барбекю настольный (белый) 35*35*22см</t>
  </si>
  <si>
    <t>Барбекю настольный (черный) 35*35*22см</t>
  </si>
  <si>
    <t>Керамический уличный гриль большой 135*58*120см (серый)</t>
  </si>
  <si>
    <t>Керамический уличный гриль большой 135*58*120см (зеленый)</t>
  </si>
  <si>
    <t>Керамический уличный гриль большой 135*58*120см (оранжевый)</t>
  </si>
  <si>
    <t>Компактный керамический уличный гриль 41*36*57см (серый)</t>
  </si>
  <si>
    <t>Компактный керамический уличный гриль 41*36*57см (зеленый)</t>
  </si>
  <si>
    <t>Керамический уличный гриль маленький 40*33*58см (оранжевый)</t>
  </si>
  <si>
    <t>Камень для пиццы/выпечки 23см</t>
  </si>
  <si>
    <t>Камень для пиццы/выпечки большой 36см</t>
  </si>
  <si>
    <t>Рассекатель пламени 41*45см</t>
  </si>
  <si>
    <t>Решетка для гриля на второй уровень 33*39,5*11см</t>
  </si>
  <si>
    <t>Чехол для маленького керамического гриля</t>
  </si>
  <si>
    <t>Чехол для большого керамического гриля</t>
  </si>
  <si>
    <t>Мангал-барбекю 63*33,9*78,4см</t>
  </si>
  <si>
    <t>6 пр. Набор для барбекю в алюминиевом кейсе серии Cubo</t>
  </si>
  <si>
    <t>Набор для барбекю 33пр в алюминиевом кейсе Cubo</t>
  </si>
  <si>
    <t>6 пр. набор для барбекю в сумке Cubo</t>
  </si>
  <si>
    <t>9пр набор для барбекю в фартуке Cubo</t>
  </si>
  <si>
    <t>Решетка гриль универсальная 69*44,5*5см</t>
  </si>
  <si>
    <t>Решетка гриль универсальная 61,5*31*5,5см</t>
  </si>
  <si>
    <t>Решетка гриль универсальная 63,5*21*5см</t>
  </si>
  <si>
    <t>Решетка гриль для рыбы 67*14,5*2,5см</t>
  </si>
  <si>
    <t>Решетка гриль для овощей 63*28,5*7см</t>
  </si>
  <si>
    <t>Решетка гриль для стейка 69*45*3см</t>
  </si>
  <si>
    <t>Лопатка для переворачивания</t>
  </si>
  <si>
    <t>Нож сантоку</t>
  </si>
  <si>
    <t>Набор 6пр ножей для стейка</t>
  </si>
  <si>
    <t>Набор 6пр вилок для барбекю</t>
  </si>
  <si>
    <t>Вилка для мяса 41,5см</t>
  </si>
  <si>
    <t>Щипцы для барбекю 39,5см</t>
  </si>
  <si>
    <t>Набор 4пр щипцов для гриля 28см Leo</t>
  </si>
  <si>
    <t>Топорик 28см</t>
  </si>
  <si>
    <t>Набор 6пр шампуров 68см</t>
  </si>
  <si>
    <t>Сумка для переноски мангала-барбекю</t>
  </si>
  <si>
    <t>Термосумка для еды 26*20*34,5см</t>
  </si>
  <si>
    <t>Набор 4пр для барбекю CooknCo</t>
  </si>
  <si>
    <t>17 Пакеты</t>
  </si>
  <si>
    <t>Пакет-майка ПНД 30+14x60, 18мкм</t>
  </si>
  <si>
    <t>Пакет-майка ПНД 38+15x59, 20мкм</t>
  </si>
  <si>
    <t>Пакет-майка ПНД 43+22x70, 30мкм</t>
  </si>
  <si>
    <t>ВАШ МЕНЕДЖЕР:</t>
  </si>
  <si>
    <t>Мария Гребинюкова</t>
  </si>
  <si>
    <t>НАШИ КОНТАКТЫ:</t>
  </si>
  <si>
    <t>Телефон</t>
  </si>
  <si>
    <t>Email</t>
  </si>
  <si>
    <t>БЕЛЬГИЙСКАЯ ПОСУДА</t>
  </si>
  <si>
    <t>Дизайн и качество доступные для всех</t>
  </si>
  <si>
    <t>Сайт</t>
  </si>
  <si>
    <t>Артикул</t>
  </si>
  <si>
    <t>Фото</t>
  </si>
  <si>
    <t>Наименование</t>
  </si>
  <si>
    <t>шт. в
картон.
кор.</t>
  </si>
  <si>
    <t>Кол-во в заказ</t>
  </si>
  <si>
    <t>Последние новинки</t>
  </si>
  <si>
    <r>
      <rPr>
        <b/>
        <sz val="9"/>
        <color indexed="40"/>
        <rFont val="Calibri"/>
      </rPr>
      <t>new</t>
    </r>
    <r>
      <rPr>
        <b/>
        <sz val="9"/>
        <color indexed="17"/>
        <rFont val="Calibri"/>
      </rPr>
      <t xml:space="preserve">
хит</t>
    </r>
  </si>
  <si>
    <t>Набор сковород 3пр диаметром 20см,24см,28см</t>
  </si>
  <si>
    <t>регуляр</t>
  </si>
  <si>
    <r>
      <rPr>
        <b/>
        <sz val="9"/>
        <color indexed="40"/>
        <rFont val="Calibri"/>
      </rPr>
      <t>new</t>
    </r>
  </si>
  <si>
    <t>Штопор для вина</t>
  </si>
  <si>
    <t>Ковш с крышкой 1,8л 16см Essentials Zeno</t>
  </si>
  <si>
    <t>Кастрюля с крышкой 1,8л 16см Essentials Zeno</t>
  </si>
  <si>
    <t>Кастрюля с крышкой 2,5л 18см Essentials Zeno</t>
  </si>
  <si>
    <t>Кастрюля с крышкой 3,9л 20см Essentials Zeno</t>
  </si>
  <si>
    <t>Кастрюля с крышкой 6,4л 24см Essentials Zeno</t>
  </si>
  <si>
    <t>Кастрюля с крышкой 26см 10,5л Essentials Zeno</t>
  </si>
  <si>
    <t>Набор посуды 12пр Essentials Zeno</t>
  </si>
  <si>
    <t>Набор посуды 12пр Vision Premium</t>
  </si>
  <si>
    <t>Нож для выемки сердцевины яблока Essentials Duet</t>
  </si>
  <si>
    <t>Вилка для мяса Essentials Duet</t>
  </si>
  <si>
    <t>Лопатка для переворачивания Essentials Duet</t>
  </si>
  <si>
    <t>Молоток для мяса Essentials Duet</t>
  </si>
  <si>
    <t>Сервировочная вилка для спагетти Essentials Duet</t>
  </si>
  <si>
    <t>Пресс для картофеля Essentials Duet</t>
  </si>
  <si>
    <t>Нож для пиццы Essentials Duet</t>
  </si>
  <si>
    <t>Ложка для риса Essentials Duet</t>
  </si>
  <si>
    <t>Половник для соуса Essentials Duet</t>
  </si>
  <si>
    <t>Ложка сервировочная Essentials Duet</t>
  </si>
  <si>
    <t>Шумовка Essentials Duet</t>
  </si>
  <si>
    <t>Половник для супа Essentials Duet</t>
  </si>
  <si>
    <t>Лопатка для переворачивания с отверстиями Essentials Duet</t>
  </si>
  <si>
    <t>Венчик Essentials Duet</t>
  </si>
  <si>
    <t>8пр набор кухонных принадлежностей Essentials Duet</t>
  </si>
  <si>
    <t>2пр набор варежек для духовки 17*31см Gem</t>
  </si>
  <si>
    <t>Варежка для барбекю 17*38см Gem</t>
  </si>
  <si>
    <t>Фартук кухонный 85*74см Gem</t>
  </si>
  <si>
    <t>2пр набор прихваток 20*20см Gem</t>
  </si>
  <si>
    <t>2пр набор чайных полотенец 50*70см Gem (чёрное-белые)</t>
  </si>
  <si>
    <t>2пр набор салфеток тканевых 35*50см Gem</t>
  </si>
  <si>
    <t>2пр набор кухонных полотенец 50*50см Gem</t>
  </si>
  <si>
    <t>2пр набор чайных полотенец 50*70см Gem (серо-белые)</t>
  </si>
  <si>
    <t>Пищевой контейнер двойной серый Leo</t>
  </si>
  <si>
    <t>Противень для выпечки квадратный Gem</t>
  </si>
  <si>
    <t>Противень для выпечки прямоугольный Gem</t>
  </si>
  <si>
    <t>Противень для выпечки большой Gem</t>
  </si>
  <si>
    <t>Противень для выпечки маленький Gem</t>
  </si>
  <si>
    <t>Форма для выпечки 12 кексов Gem</t>
  </si>
  <si>
    <t>Форма для выпечки 12 маффионов Gem</t>
  </si>
  <si>
    <t>Форма для выпечки 6 кексов Gem</t>
  </si>
  <si>
    <t>Форма для пиццы Gem</t>
  </si>
  <si>
    <t>Форма для пирогов Gem</t>
  </si>
  <si>
    <t>Форма для выпечки тортов круглая Gem</t>
  </si>
  <si>
    <t>Форма для выпечки кексов большая Gem</t>
  </si>
  <si>
    <t>Форма для выпечки продолговатая Gem</t>
  </si>
  <si>
    <t>Кружка дорожная фарфоровая 250мл Leo</t>
  </si>
  <si>
    <t>Контейнер для пищевых продуктов с герметизирующей крышкой XL Leo</t>
  </si>
  <si>
    <t>Контейнер для пищевых продуктов с герметизирующей крышкой 0,4л Leo</t>
  </si>
  <si>
    <t>Контейнер для пищевых продуктов с герметизирующей крышкой 1,0л</t>
  </si>
  <si>
    <t>Контейнер для пищевых продуктов с герметизирующей крышкой 1,6л</t>
  </si>
  <si>
    <t>2пр набор контейнеров для пищевых продуктов с герметизирующей крышкой</t>
  </si>
  <si>
    <t>Сотейник с крышкой 24см 2,7л Bistro</t>
  </si>
  <si>
    <t>3пр Набор для пиццы Leo</t>
  </si>
  <si>
    <t>01 Наборы посуды</t>
  </si>
  <si>
    <t/>
  </si>
  <si>
    <t>Набор посуды 6пр Vision Premium</t>
  </si>
  <si>
    <t>Набор посуды 6пр Vision Prima (стальные ручки)</t>
  </si>
  <si>
    <t>Набор посуды 6пр Vision Prima</t>
  </si>
  <si>
    <t>Набор для спагетти 20пр Studio</t>
  </si>
  <si>
    <r>
      <rPr>
        <b/>
        <sz val="9"/>
        <color indexed="17"/>
        <rFont val="Calibri"/>
      </rPr>
      <t>хит</t>
    </r>
  </si>
  <si>
    <t>Набор посуды 10пр Manhattan</t>
  </si>
  <si>
    <t>7пр Набор посуды Hotel</t>
  </si>
  <si>
    <t>12пр Набор посуды Hotel</t>
  </si>
  <si>
    <t>Набор посуды 7пр Hotel</t>
  </si>
  <si>
    <t>Набор посуды 12пр Hotel</t>
  </si>
  <si>
    <t>Набор посуды 12пр Vision Premium (со стальными ручками)</t>
  </si>
  <si>
    <t>12пр Набор посуды Vision Premium</t>
  </si>
  <si>
    <t>02 Кастрюли, гусятницы, жаровни, скороварки, пароварки, сковороды, сотейники, ковши</t>
  </si>
  <si>
    <t>Теппаньяки 35*57см Geminis</t>
  </si>
  <si>
    <t>Кастрюля с крышкой 18см 2,5л Hotel</t>
  </si>
  <si>
    <t>Кастрюля с крышкой 20см 3,7л Hotel</t>
  </si>
  <si>
    <t>Кастрюля с крышкой 24см 6,1л Hotel</t>
  </si>
  <si>
    <t>Ковш с крышкой 16см 1,6л Hotel</t>
  </si>
  <si>
    <t>Сотейник с крышкой 28см 4л Hotel</t>
  </si>
  <si>
    <t>Сковорода 24см 2,1см Hotel</t>
  </si>
  <si>
    <t>Сковорода 28см 2,9см Hotel</t>
  </si>
  <si>
    <t>Вставка пароварка для кастрюли 24 и 26см Hotel</t>
  </si>
  <si>
    <t>Глубокая сковорода-вок 28см 3,2л Hotel</t>
  </si>
  <si>
    <t>Сотейник с двумя ручками с крышкой 28см 4л Hotel</t>
  </si>
  <si>
    <t>Кастрюля с крышкой 2,3л 18см Manhatten</t>
  </si>
  <si>
    <t>Ковш с крышкой 16см 1,7л Manhattan</t>
  </si>
  <si>
    <t>Manhattan кастрюля с крышкой 24cм объемом 4,9л</t>
  </si>
  <si>
    <t>Сотейник с крышкой 24см 2,7л Manhatten</t>
  </si>
  <si>
    <t>Кастрюля с крышкой 28см 8,3л Manhattan</t>
  </si>
  <si>
    <t>Сковорода 20см 1,1л Manhattan</t>
  </si>
  <si>
    <t>Сковорода 24см 1,8л Manhattan</t>
  </si>
  <si>
    <t>Ковш с крышкой 16см 2л Cosmo</t>
  </si>
  <si>
    <t>Кастрюля с крышкой 16см 2л Cosmo</t>
  </si>
  <si>
    <t>Кастрюля с крышкой 20см 3,9л Cosmo</t>
  </si>
  <si>
    <t>Кастрюля с крышкой 24см 6,6л Cosmo</t>
  </si>
  <si>
    <t>Пароварка с крышкой 20см 3,9л Cosmo</t>
  </si>
  <si>
    <t>Кастрюля с крышкой 18см 2,7л Zeno</t>
  </si>
  <si>
    <t>Кастрюля с крышкой 24см 6,6л Zeno</t>
  </si>
  <si>
    <t>Кастрюля с крышкой 26см 10л Zeno</t>
  </si>
  <si>
    <t>Пароварка с крышкой 20см 3,9л Zeno</t>
  </si>
  <si>
    <t>Сотейник 24см 4л Zeno</t>
  </si>
  <si>
    <t>Сотейник 24см 2,5л Zeno</t>
  </si>
  <si>
    <t>Ковш с крышкой 16см 1,3л Tulip</t>
  </si>
  <si>
    <t>Кастрюля с крышкой 16см 1,3л Tulip</t>
  </si>
  <si>
    <t>Сотейник 20см 2,3л Tulip</t>
  </si>
  <si>
    <t>Кастрюля с крышкой 26см 7,8л Tulip</t>
  </si>
  <si>
    <t>Ковш с крышкой 16см 1,6л Invico Vitrum</t>
  </si>
  <si>
    <t>Кастрюля с крышкой 16см 1,6л Invico Vitrum</t>
  </si>
  <si>
    <t>Кастрюля с крышкой 24см 6,8л Invico Vitrum</t>
  </si>
  <si>
    <t>Кастрюля с крышкой 24см 6,6л Virgo</t>
  </si>
  <si>
    <t>Кастрюля с крышкой 24см 6,3л Neo</t>
  </si>
  <si>
    <t>Кастрюля с крышкой 18см 2,4л Neo</t>
  </si>
  <si>
    <t>Ковш с крышкой 16см 1,9л Neo</t>
  </si>
  <si>
    <t>Кастрюля с крышкой 20см 3,6л Neo</t>
  </si>
  <si>
    <t>Кастрюля с крышкой 24см 5,8л Neo</t>
  </si>
  <si>
    <t>Ковш с крышкой 16см 1,7л Neo</t>
  </si>
  <si>
    <t>Сотейник с двумя ручками 24см 2,4л Neo</t>
  </si>
  <si>
    <t>Вок с крышкой 36см 4,5л Neo</t>
  </si>
  <si>
    <t>Кастрюля с крышкой 20см 3,8л Neo</t>
  </si>
  <si>
    <t>Сотейник с двумя ручками 24см 2,4л (стеклянная крышка) Neo</t>
  </si>
  <si>
    <t>Сковорода 26см (5-слойный материал) Neo</t>
  </si>
  <si>
    <t>Ковш с крышкой 16см 1,6л Ron</t>
  </si>
  <si>
    <t>Кастрюля с крышкой 20см 3,7л Ron</t>
  </si>
  <si>
    <t>Кастрюля с крышкой 24см 6,4л Ron</t>
  </si>
  <si>
    <t>Сотейник с двумя ручками 24см 3,1л Ron</t>
  </si>
  <si>
    <t>Сковорода из нержавеющей стали 24см 2л Ron</t>
  </si>
  <si>
    <t>Сковорода из нержавеющей стали 28см 3,6л Ron</t>
  </si>
  <si>
    <t>Ковш 18см 1,3л (5-слойный материал) Ron</t>
  </si>
  <si>
    <t>Ковш с крышкой 18см 2л (5-слойный материал) Ron</t>
  </si>
  <si>
    <t>Кастрюля с крышкой 18см 3л (5-слойный материал) Ron</t>
  </si>
  <si>
    <t>Кастрюля с крышкой 22см 4,3л (5-слойный материал) Ron</t>
  </si>
  <si>
    <t>Сотейник 24см 3л (5-слойный материал) Ron</t>
  </si>
  <si>
    <t>Кастрюля с крышкой 24см 6,1л (5-слойный материал) Ron</t>
  </si>
  <si>
    <t>Сковорода 26см 2,1л (5-слойный материал) Ron</t>
  </si>
  <si>
    <t>Теппаньяки 32*35см (5-слойный материал) Ron</t>
  </si>
  <si>
    <t>Ковш чугунный 18см 1,7л (черный) Ron</t>
  </si>
  <si>
    <t>Сотейник чугунный с двумя ручками 28см 3,3л (черный) Ron</t>
  </si>
  <si>
    <t>Кастрюля чугунная овальная с крышкой 22*28см 5,2л (черная) Ron</t>
  </si>
  <si>
    <t>Кастрюля чугунная овальная с крышкой 24см 4,2л (черная) Ron</t>
  </si>
  <si>
    <t>Сковорода чугунная 26см 2,5л (черная) Ron</t>
  </si>
  <si>
    <t>Ковш чугунный 18см 1,7л (зеленый) Ron</t>
  </si>
  <si>
    <t>Сотейник чугунный с двумя ручками 28см 3,3л (зеленый) Ron</t>
  </si>
  <si>
    <t>Кастрюля чугунная овальная с крышкой 22*28см 5,2л (зеленая) Ron</t>
  </si>
  <si>
    <t>Кастрюля чугунная овальная с крышкой 24см 4,2л (зеленая) Ron</t>
  </si>
  <si>
    <t>Сковорода чугунная 26см 2,5л (зеленая) Ron</t>
  </si>
  <si>
    <t>Кастрюля с крышкой 1,3л 16см Bistro</t>
  </si>
  <si>
    <t>Кастрюля с крышкой 18см 1,9л Bistro</t>
  </si>
  <si>
    <t>Кастрюля с крышкой 20см 2,6л Bistro</t>
  </si>
  <si>
    <t>Кастрюля с крышкой 24см 4,5л Bistro</t>
  </si>
  <si>
    <t>Bistro кастрюля с крышкой 24*11,5 см 4,5 л</t>
  </si>
  <si>
    <t>Кастрюля с крышкой 24*15,5см 6л Bistro</t>
  </si>
  <si>
    <t>Сотейник с двумя ручками 24см 2,7л Bistro</t>
  </si>
  <si>
    <t>Сотейник с двумя ручками 24см 2,7л (антипригарное покрытие) Bistro</t>
  </si>
  <si>
    <t>Сковорода 24см 1,9л Bistro</t>
  </si>
  <si>
    <t>Ковш с крышкой 16см 1,3л Bistro</t>
  </si>
  <si>
    <t>Ковш с крышкой 1,3л 16см Bistro</t>
  </si>
  <si>
    <t>Набор овальных противней 4пр, 30см CooknCo</t>
  </si>
  <si>
    <t>Скороварка 6л VITA</t>
  </si>
  <si>
    <t>Скороварка 9л VITA</t>
  </si>
  <si>
    <t>Набор скороварок 4+7л VITA</t>
  </si>
  <si>
    <t>Скороварка 22см 4л Eclipse</t>
  </si>
  <si>
    <t>Набор скороварок 5пр (3 и 6 литров) 22см Eclipse</t>
  </si>
  <si>
    <t>Гусятница 32*21*11см 5,4л CooknCo</t>
  </si>
  <si>
    <t>Кастрюля с крышкой 20см Manhattan</t>
  </si>
  <si>
    <t>03 Серия Aluminium</t>
  </si>
  <si>
    <t>Сковорода 20см 1,1л Gem</t>
  </si>
  <si>
    <t>Сковорода 24см 1,7л Gem</t>
  </si>
  <si>
    <t>Сковорода 28см 2,3л Gem</t>
  </si>
  <si>
    <t>Сотейник с крышкой 24см 3,2л Gem</t>
  </si>
  <si>
    <t>Сотейник с крышкой 28см 4,4л Gem</t>
  </si>
  <si>
    <t>Сковорода-гриль 24см 2,4л Gem</t>
  </si>
  <si>
    <t>Сковорода-гриль 28см 5,5л Gem</t>
  </si>
  <si>
    <t>Ковш с крышкой 18см 1,8л Gem</t>
  </si>
  <si>
    <t>Глубокая сковорода-вок 24см 2,9л Gem</t>
  </si>
  <si>
    <t>Глубокая сковорода-вок 28см 3,9л Gem</t>
  </si>
  <si>
    <t>Сковорода блинная 24см Gem</t>
  </si>
  <si>
    <t>Кастрюля с крышкой 20см 2,8л Gem</t>
  </si>
  <si>
    <t>Кастрюля с крышкой 24см 4,9л Gem</t>
  </si>
  <si>
    <t>Кастрюля с крышкой 28см 7,3л Gem</t>
  </si>
  <si>
    <t>Вок китайский с крышкой 32см 5,4л Gem</t>
  </si>
  <si>
    <t>Сотейник с двумя ручками 28см 4,6л Gem</t>
  </si>
  <si>
    <t>Кастрюля чугунная с крышкой 24см 4,4л Gem</t>
  </si>
  <si>
    <t>Кастрюля чугунная с крышкой 28см 6,8л Gem</t>
  </si>
  <si>
    <t>Кастрюля чугунная овальная с крышкой 27*22см 4,1л Gem</t>
  </si>
  <si>
    <t>Сотейник чугунный с крышкой 28см 3,7л Gem</t>
  </si>
  <si>
    <t>Сковорода блинная 26см 0,9л Hotel</t>
  </si>
  <si>
    <t>Сотейник с двумя ручками 28см 4,3л Virgo Orange (FernoCeramic)</t>
  </si>
  <si>
    <t>Кастрюля с крышкой 16см 1,5л Virgo Orange</t>
  </si>
  <si>
    <t>Сотейник с двумя ручками 28см 4,3л Virgo Orange</t>
  </si>
  <si>
    <t>Сковорода-гриль 24см 3л Virgo Orange</t>
  </si>
  <si>
    <t>Сковорода-гриль 28см 4,3л Virgo Orange</t>
  </si>
  <si>
    <t>Сковорода 20см 1,3л Virgo Orange</t>
  </si>
  <si>
    <t>Сковорода 26см 2,4л Virgo Auberge</t>
  </si>
  <si>
    <t>Сковорода-гриль 24см 3л Virgo Dark</t>
  </si>
  <si>
    <t>Сковорода-гриль 28см 4,3л Virgo Dark</t>
  </si>
  <si>
    <t>Сковорода 20см 1,3л Scala (FernoCeramic)</t>
  </si>
  <si>
    <t>Сковорода-вок крышкой 28см 3,7л Scala</t>
  </si>
  <si>
    <t>Сковорода 20см 1,1л Scala</t>
  </si>
  <si>
    <t>Сковорода 26см 2,1л Scala</t>
  </si>
  <si>
    <t>Сотейник 26см 3,2л Scala</t>
  </si>
  <si>
    <t>Кастрюля с крышкой 20см 2,7л Scala</t>
  </si>
  <si>
    <t>Кастрюля с крышкой 20см 3,5л Scala</t>
  </si>
  <si>
    <t>Сковорода-гриль 24см 2,6л Scala</t>
  </si>
  <si>
    <t>Кастрюля с крышкой 16см 1,4л Scala</t>
  </si>
  <si>
    <t>Кастрюля 24см 6,8л Scala</t>
  </si>
  <si>
    <t>Ковш с крышкой 16см 1,2л Scala</t>
  </si>
  <si>
    <t>Ковш с крышкой 20см 2,7л Scala</t>
  </si>
  <si>
    <t>Противень со стеклянной крышкой 45*22см 3,8л Scala</t>
  </si>
  <si>
    <t>Жаровня 42*25*12,5см 9л Scala</t>
  </si>
  <si>
    <t>Сковорода блинная 24см Scala</t>
  </si>
  <si>
    <t>Сковорода 28см Straight</t>
  </si>
  <si>
    <t>Сотейник 24см 2,2л Neo</t>
  </si>
  <si>
    <t>Сковорода 20см 1л Neo</t>
  </si>
  <si>
    <t>Сковорода 28см 2,2л Neo</t>
  </si>
  <si>
    <t>Кастрюля с крышкой 16см 2л (лаймовая) Eclipse</t>
  </si>
  <si>
    <t>Кастрюля с крышкой 24см 6,6л (лаймовая) Eclipse</t>
  </si>
  <si>
    <t>Сотейник 26см 3,2л (лаймовый) Eclipse</t>
  </si>
  <si>
    <t>Сотейник с двумя ручками 26см 3,2л (лаймовый) Eclipse</t>
  </si>
  <si>
    <t>Сковорода 28см 2,3л (лаймовая) Eclipse</t>
  </si>
  <si>
    <t>Противень 44,5*25*7см 5,6л (лаймовый) Eclipse</t>
  </si>
  <si>
    <t>Ковш с крышкой 16см 1,5л (красный) Eclipse</t>
  </si>
  <si>
    <t>Кастрюля с крышкой 16см 2л (красная) Eclipse</t>
  </si>
  <si>
    <t>Сотейник 26см 3,2л (красный) Eclipse</t>
  </si>
  <si>
    <t>Сотейник с двумя ручками 26см 3,2л (красный) Eclipse</t>
  </si>
  <si>
    <t>Сковорода 24см 1,5л (красная) Eclipse</t>
  </si>
  <si>
    <t>Сковорода 28см 2,3л (красная) Eclipse</t>
  </si>
  <si>
    <t>Противень 44,5*25*7см 5,6л (красный) Eclipse</t>
  </si>
  <si>
    <t>Кастрюля с крышкой 16см 2л (фиолетовая) Eclipse</t>
  </si>
  <si>
    <t>Кастрюля с крышкой 24см 6,6л (фиолетовая) Eclipse</t>
  </si>
  <si>
    <t>Сотейник 26см 3,2л (фиолетовый) Eclipse</t>
  </si>
  <si>
    <t>Сотейник с двумя ручками 26см 3,2л (фиолетовый) Eclipse</t>
  </si>
  <si>
    <t>Сковорода 24см 1,5л (фиолетовая) Eclipse</t>
  </si>
  <si>
    <t>Противень 44,5*25*7см 5,6л (фиолетовый) Eclipse</t>
  </si>
  <si>
    <t>Ковш с крышкой 16см 1,5л (оранжевый) Eclipse</t>
  </si>
  <si>
    <t>Кастрюля с крышкой 16см 2л (оранжевая) Eclipse</t>
  </si>
  <si>
    <t>Кастрюля с крышкой 24см 6,6л (оранжевая) Eclipse</t>
  </si>
  <si>
    <t>Сотейник 26см 3,2л (оранжевый) Eclipse</t>
  </si>
  <si>
    <t>Сотейник с двумя ручками 26см 3,2л (оранжевый) Eclipse</t>
  </si>
  <si>
    <t>Сковорода-вок 28см 3,2л (оранжевая) Eclipse</t>
  </si>
  <si>
    <t>Сковорода 24см 1,5л (оранжевая) Eclipse</t>
  </si>
  <si>
    <t>Сковорода 28см 2,3л (оранжевая) Eclipse</t>
  </si>
  <si>
    <t>Противень 44,5*25*7см 5,6л (оранжевый) Eclipse</t>
  </si>
  <si>
    <t>Кастрюля с крышкой 16см 2л (серая) Eclipse</t>
  </si>
  <si>
    <t>Кастрюля с крышкой 20см 3,7л (серая) Eclipse</t>
  </si>
  <si>
    <t>Кастрюля с крышкой 24см 6,6л (серая) Eclipse</t>
  </si>
  <si>
    <t>Сотейник с двумя ручками 26см 3,2л (серый) Eclipse</t>
  </si>
  <si>
    <t>Сковорода 20см (серая) Eclipse</t>
  </si>
  <si>
    <t>Сковорода 24см (серая) Eclipse</t>
  </si>
  <si>
    <t>Сковорода 28см (серая) Eclipse</t>
  </si>
  <si>
    <t>Кастрюля с крышкой 16см 1,4л Lover by Lover</t>
  </si>
  <si>
    <t>Кастрюля с крышкой 20см 3л Lover by Lover</t>
  </si>
  <si>
    <t>Кастрюля с крышкой 24см 5л Lover by Lover</t>
  </si>
  <si>
    <t>Ковш с крышкой 16см 1,4л Lover by Lover</t>
  </si>
  <si>
    <t>Сковорода 20см Lover by Lover</t>
  </si>
  <si>
    <t>Сковорода 24см Lover by Lover</t>
  </si>
  <si>
    <t>Сковорода 24см 1,8л Ron</t>
  </si>
  <si>
    <t>Сковорода 28см 2,5л Ron</t>
  </si>
  <si>
    <t>Ковш с крышкой 16см 1,1л CooknCo</t>
  </si>
  <si>
    <t>Сковорода-гриль 28см CooknCo</t>
  </si>
  <si>
    <t>Сковорода 20см Cast aluminium CooknCo</t>
  </si>
  <si>
    <t>Ковш Eclipse 16см 1,5л (светло-зеленый)</t>
  </si>
  <si>
    <t>Кастрюля Eclipse 16см 2,1л (светло-зеленая)</t>
  </si>
  <si>
    <t>Кастрюля Eclipse 20см 3,7л (светло-зеленая)</t>
  </si>
  <si>
    <t>Кастрюля Eclipse 24см 6,6л (светло-зеленый)</t>
  </si>
  <si>
    <t>Сотейник Eclipse 26см 3,2л (светло-зеленый)</t>
  </si>
  <si>
    <t>Сотейник с двумя ручками Eclipse 26см 3,2л (светло-зеленый)</t>
  </si>
  <si>
    <t>Вок Eclipse 28см 3,2л (светло-зеленый)</t>
  </si>
  <si>
    <t>Сковорода Eclipse 20см 1,1л (светло-зеленая)</t>
  </si>
  <si>
    <t>Сковорода Eclipse 24см 1,5л (светло-зеленая)</t>
  </si>
  <si>
    <t>Сковорода Eclipse 28см 2,3л (светло-зеленая)</t>
  </si>
  <si>
    <t>Сковорода блинная Eclipse 24см (светло-зеленая)</t>
  </si>
  <si>
    <t>Противень Eclipse 44,5*25*7см (светло-зеленый)</t>
  </si>
  <si>
    <t>Ковш Eclipse 16см 1,5л (серый)</t>
  </si>
  <si>
    <t>Кастрюля Eclipse 16см 2,1л (серая)</t>
  </si>
  <si>
    <t>Кастрюля Eclipse 20см 3,7л (серая)</t>
  </si>
  <si>
    <t>Кастрюля Eclipse 24см 6,6л (серый)</t>
  </si>
  <si>
    <t>Сотейник Eclipse 26см 3,2л (серый)</t>
  </si>
  <si>
    <t>Сотейник с двумя ручками Eclipse 26см 3,2л (серый)</t>
  </si>
  <si>
    <t>Вок Eclipse 28см 3,2л (серый)</t>
  </si>
  <si>
    <t>Сковорода Eclipse 20см 1,1л (серая)</t>
  </si>
  <si>
    <t>Сковорода Eclipse 24см 1,5л (серая)</t>
  </si>
  <si>
    <t>Сковорода Eclipse 28см 2,3л (серая)</t>
  </si>
  <si>
    <t>Сковорода блинная Eclipse 24см (серая)</t>
  </si>
  <si>
    <t>Противень Eclipse 44,5*25*7см (серый)</t>
  </si>
  <si>
    <t>04 Ножи</t>
  </si>
  <si>
    <t>Набор ножей 7пр Bakelit</t>
  </si>
  <si>
    <t>Набор ножей 7пр Lagos</t>
  </si>
  <si>
    <t>Набор ножей 8пр Cancavo</t>
  </si>
  <si>
    <t>Набор ножей 6пр Eclipse hollow</t>
  </si>
  <si>
    <t>Набор ножей 6пр Essentials</t>
  </si>
  <si>
    <t>Набор ножей 8пр</t>
  </si>
  <si>
    <t>Набор 5пр ножей с керамическим покрытием (разноцветные) Studio</t>
  </si>
  <si>
    <t>Набор ножей 7пр Dark Wood</t>
  </si>
  <si>
    <t>Набор ножей 9пр Dark Wood</t>
  </si>
  <si>
    <t>Набор ножей 7пр Geminis</t>
  </si>
  <si>
    <t>4 пр. набор ножей с керамическим покрытием черного цвета</t>
  </si>
  <si>
    <t>Набор ножей 15пр кованные</t>
  </si>
  <si>
    <t>Набор ножей 20пр кованные</t>
  </si>
  <si>
    <t>Набор ножей 9пр в складной сумке Eclipse</t>
  </si>
  <si>
    <t>Набор 8пр ножей для фигурной вырезки в складной сумке</t>
  </si>
  <si>
    <t>Топор кухонный с рукоятью из темного дерева 16,5см</t>
  </si>
  <si>
    <t>Нож для мяса с рукоятью из темного дерева 20см</t>
  </si>
  <si>
    <t>Нож для хлеба с рукоятью из темного дерева 20см</t>
  </si>
  <si>
    <t>Нож для очистки с рукоятью из темного дерева 8,5см</t>
  </si>
  <si>
    <t>Универсальный нож с рукоятью из темного дерева 12см</t>
  </si>
  <si>
    <t>Нож сантоку с рукоятью из темного дерева 17,5см</t>
  </si>
  <si>
    <t>Поварской нож с рукоятью из темного дерева 20см</t>
  </si>
  <si>
    <t>Ножницы для разделки птицы с рукоятью из темного дерева</t>
  </si>
  <si>
    <t>Набор 3пр керамических ножей Eclipse</t>
  </si>
  <si>
    <t>Нож керамический для хлеба 15см Eclipse</t>
  </si>
  <si>
    <t>Нож керамический для сыра 9см Eclipse</t>
  </si>
  <si>
    <t>Нож керамический для сыра 10см Eclipse</t>
  </si>
  <si>
    <t>Нож керамический для томатов 12см Eclipse</t>
  </si>
  <si>
    <t>Нож керамический сантоку 14см Eclipse</t>
  </si>
  <si>
    <t>Нож керамический поварской 13см Eclipse</t>
  </si>
  <si>
    <t>Нож керамический для очистки 10см Eclipse</t>
  </si>
  <si>
    <t>Нож для нарезки сыра ломтиками (круглый) Straight</t>
  </si>
  <si>
    <t>Нож для сыра с отверстиями 27см Straight</t>
  </si>
  <si>
    <t>Нож поварской 18,5см Orion</t>
  </si>
  <si>
    <t>Нож для мяса 20см Orion</t>
  </si>
  <si>
    <t>Нож для хлеба 20см Orion</t>
  </si>
  <si>
    <t>Нож для выемки костей 15см Orion</t>
  </si>
  <si>
    <t>Шеф нож 20см Everslice</t>
  </si>
  <si>
    <t>Клиновидный гибкий филеровочный нож 23см Everslice</t>
  </si>
  <si>
    <t>Зазубренный охотничий нож 30см Everslice</t>
  </si>
  <si>
    <t>Гибкий филеровочный нож 23см Everslice</t>
  </si>
  <si>
    <t>Зазубренный филеровочный нож 18см Everslice</t>
  </si>
  <si>
    <t>Топор 30,5см Everslice</t>
  </si>
  <si>
    <t>Нож для выемки костей гибкий 15см Gourmet</t>
  </si>
  <si>
    <t>Нож универсальный 12см Gourmet</t>
  </si>
  <si>
    <t>Нож разделочный 20см Gourmet</t>
  </si>
  <si>
    <t>Нож универсальный гибкий 15см Gourmet</t>
  </si>
  <si>
    <t>Нож сантоку 18см Gourmet</t>
  </si>
  <si>
    <t>Нож для чистки 7см Gourmet</t>
  </si>
  <si>
    <t>Нож поварской 20см Gourmet</t>
  </si>
  <si>
    <t>Нож поварской 23см Gourmet</t>
  </si>
  <si>
    <t>Нож разделочный 18см Gourmet</t>
  </si>
  <si>
    <t>Нож разделочный гибкий 18см Gourmet</t>
  </si>
  <si>
    <t>Нож для чистки гибкий 9см Gourmet</t>
  </si>
  <si>
    <t>Нож универсальный 15см Gourmet</t>
  </si>
  <si>
    <t>Нож для хлеба 23см Gourmet</t>
  </si>
  <si>
    <t>Нож для томатов Gourmet 13см</t>
  </si>
  <si>
    <t>Нож для стейка Gourmet 12см</t>
  </si>
  <si>
    <t>Нож универсальный 18см Gourmet</t>
  </si>
  <si>
    <t>Нож для выемки костей 15см Gourmet</t>
  </si>
  <si>
    <t>Нож для ветчины/лосося Gourmet 15см</t>
  </si>
  <si>
    <t>Нож для хлеба 23см Neo</t>
  </si>
  <si>
    <t>Нож поварской 20см Neo</t>
  </si>
  <si>
    <t>Нож для хлеба 18см Neo</t>
  </si>
  <si>
    <t>Нож для очистки 9см Neo</t>
  </si>
  <si>
    <t>Нож для выемки костей 13см Neo</t>
  </si>
  <si>
    <t>Нож сантоку 18см Neo</t>
  </si>
  <si>
    <t>Нож для томатов 13см Neo</t>
  </si>
  <si>
    <t>Нож для очистки 7см Neo</t>
  </si>
  <si>
    <t>Набор ножей 3пр Eclipse</t>
  </si>
  <si>
    <t>Нож для хлеба 15см Eclipse</t>
  </si>
  <si>
    <t>Нож для сыра 9см Eclipse</t>
  </si>
  <si>
    <t>Нож для сыра 10см Eclipse</t>
  </si>
  <si>
    <t>Нож для томатов 12см Eclipse</t>
  </si>
  <si>
    <t>Нож сантоку 14см Eclipse</t>
  </si>
  <si>
    <t>Нож поварской 13см Eclipse</t>
  </si>
  <si>
    <t>Нож для очистки 10см Eclipse</t>
  </si>
  <si>
    <t>3пр набор ножей с покрытием от налипания</t>
  </si>
  <si>
    <t>Нож для хлеба 15см Eclipse (с покрытием от налипания)</t>
  </si>
  <si>
    <t>Нож для сыра 10см Eclipse (с покрытием от налипания)</t>
  </si>
  <si>
    <t>Нож для томатов 12см Eclipse (с покрытием от налипания)</t>
  </si>
  <si>
    <t>Нож сантоку 14см Eclipse (с покрытием от налипания)</t>
  </si>
  <si>
    <t>Нож поварской 13см Eclipse (с покрытием от налипания)</t>
  </si>
  <si>
    <t>Нож для очистки 10см Eclipse (с покрытием от налипания)</t>
  </si>
  <si>
    <t>Нож для хлеба 23см Ron</t>
  </si>
  <si>
    <t>Нож поварской 19см Ron</t>
  </si>
  <si>
    <t>Нож поварской 13см Ron</t>
  </si>
  <si>
    <t>Нож сантоку 16см Ron</t>
  </si>
  <si>
    <t>Нож для мяса 19см Ron</t>
  </si>
  <si>
    <t>Вилка для мяса 17см Ron</t>
  </si>
  <si>
    <t>Нож для выемки костей 15см Ron</t>
  </si>
  <si>
    <t>Нож для овощей 12см Ron</t>
  </si>
  <si>
    <t>Нож для очистки 8,5см Ron</t>
  </si>
  <si>
    <t>Нож универсальный 13см Ron</t>
  </si>
  <si>
    <t>Нож для очистки 8,5см Leo (синий)</t>
  </si>
  <si>
    <t>Нож поварской 14см Leo (серый)</t>
  </si>
  <si>
    <t>Нож для овощей и цедры 11см Leo (мятного цвета)</t>
  </si>
  <si>
    <t>Нож для сыра 13см Leo (розовый)</t>
  </si>
  <si>
    <t>Нож сантоку 17см Leo (мятного цвета)</t>
  </si>
  <si>
    <t>Нож для мяса 19см Leo (розовый)</t>
  </si>
  <si>
    <t>Нож поварской 19см Leo (розовый)</t>
  </si>
  <si>
    <t>Нож универсальный зазубренный 11,5см Leo (синий)</t>
  </si>
  <si>
    <t>Нож для хлеба 23см Leo (мятного цвета)</t>
  </si>
  <si>
    <t>Вилка для мяса 17см Leo (серая)</t>
  </si>
  <si>
    <t>Нож для хлеба 23см Leo (серый)</t>
  </si>
  <si>
    <t>Нож сантоку 17см Leo (серый)</t>
  </si>
  <si>
    <t>Поварской нож 19см Leo (серый)</t>
  </si>
  <si>
    <t>Нож для мяса 19см Leo (серый)</t>
  </si>
  <si>
    <t>Поварской нож маленький 14см с отверстиями для очистки размарина Leo (серый)</t>
  </si>
  <si>
    <t>Нож для овощей и цедры 11см Leo (серый)</t>
  </si>
  <si>
    <t>Нож для сыра 13см Leo (серый)</t>
  </si>
  <si>
    <t>Нож универсальный зазубренный 11,5см Leo (серый)</t>
  </si>
  <si>
    <t>Нож для стейка (4шт)</t>
  </si>
  <si>
    <t>Нож для очистки 8,5см Leo (серый)</t>
  </si>
  <si>
    <t>Набор 2пр для нарезки Leo</t>
  </si>
  <si>
    <t>Нож для пиццы 30см Leo</t>
  </si>
  <si>
    <t>Нож для очистки кованый 9см CooknCo</t>
  </si>
  <si>
    <t>Нож поварской кованый 20см CooknCo</t>
  </si>
  <si>
    <t>Нож для мяса кованый 20см CooknCo</t>
  </si>
  <si>
    <t>Нож для хлеба 20см CooknCo</t>
  </si>
  <si>
    <t>Топорик кухонный 18,5см CooknCo</t>
  </si>
  <si>
    <t>Нож сантоку 18см CooknCo</t>
  </si>
  <si>
    <t>Нож сантоку 12,5см</t>
  </si>
  <si>
    <t>Нож сантоку 17см</t>
  </si>
  <si>
    <t>Нож сантоку 11,5см CooknCo</t>
  </si>
  <si>
    <t>Нож сантоку с отверстиями в лезвии 18см Essentials</t>
  </si>
  <si>
    <t>6пр набор ножей для стейка Eclipse</t>
  </si>
  <si>
    <t>Нож для чистки кованый 9см</t>
  </si>
  <si>
    <t>Нож универсальный кованый</t>
  </si>
  <si>
    <t>Органайзер для хранения ножей 30см Ron</t>
  </si>
  <si>
    <t>Органайзер для хранения ножей 38,5см Ron</t>
  </si>
  <si>
    <t>Магнитный держатель для ножей 40см Ron</t>
  </si>
  <si>
    <t>Универсальная колода для ножей Leo 23*23,5*8см</t>
  </si>
  <si>
    <t>Колода деревянная Ron</t>
  </si>
  <si>
    <t>Органайзер для ножей и кухонных принадлежностей 24*14,5см Leo</t>
  </si>
  <si>
    <t>Мусат 30,5см Orion</t>
  </si>
  <si>
    <t>Мусат 20см Gourmet</t>
  </si>
  <si>
    <t>Мусат 39,5см Ron</t>
  </si>
  <si>
    <t>Точилка для ножей 3 в 1</t>
  </si>
  <si>
    <t>05 Столовые приборы</t>
  </si>
  <si>
    <t>Набор детских столовых приборов 3пр Circus</t>
  </si>
  <si>
    <t>Набор детских столовых приборов 3пр Swipswap</t>
  </si>
  <si>
    <t>Набор детских столовых приборов 3пр Folio Kids</t>
  </si>
  <si>
    <t>Набор детских столовых приборов 3пр</t>
  </si>
  <si>
    <t>Набор столовых приборов 24пр Studio</t>
  </si>
  <si>
    <t>Набор столовых приборов 24пр Stella matt</t>
  </si>
  <si>
    <t>Набор столовых приборов для рыбы и стейка 24пр Orchestra gold</t>
  </si>
  <si>
    <t>Набор столовых приборов 30пр Essence</t>
  </si>
  <si>
    <t>Набор столовых приборов 30пр Line</t>
  </si>
  <si>
    <t>Набор столовых приборов 30пр Heritage</t>
  </si>
  <si>
    <t>Набор столовых приборов 30пр Folio</t>
  </si>
  <si>
    <t>Набор столовых приборов 30пр Finesse</t>
  </si>
  <si>
    <t>Набор столовых приборов 30пр Waterfall</t>
  </si>
  <si>
    <t>Набор столовых приборов 72пр Essence</t>
  </si>
  <si>
    <t>Набор столовых приборов 72пр Waterfall</t>
  </si>
  <si>
    <t>Набор столовых приборов 72пр Heritage</t>
  </si>
  <si>
    <t>Набор столовых приборов 72пр Finesse</t>
  </si>
  <si>
    <t>Набор столовых предметов 72пр Folio</t>
  </si>
  <si>
    <t>Набор столовых приборов 72пр Line</t>
  </si>
  <si>
    <t>Набор столовых приборов 24пр Auriga</t>
  </si>
  <si>
    <t>Набор столовых приборов 24пр Neo</t>
  </si>
  <si>
    <t>Набор столовых приборов 30пр Eclipse</t>
  </si>
  <si>
    <t>Набор столовых приборов 24пр CooknCo Sphere</t>
  </si>
  <si>
    <t>Набор столовых приборов 24пр CooknCo Lime</t>
  </si>
  <si>
    <t>Набор столовых приборов 4пр Studio</t>
  </si>
  <si>
    <t>Набор 12пр столовых ножей 23,5см Saxophone</t>
  </si>
  <si>
    <t>Набор 12пр столовых ложек 21,5см Saxophone</t>
  </si>
  <si>
    <t>Набор 12пр столовых вилок 21,5см Saxophone</t>
  </si>
  <si>
    <t>Набор 12пр десертных вилок 19см Saxophone</t>
  </si>
  <si>
    <t>Набор 12пр ножей для сервировки рыбы Saxophone</t>
  </si>
  <si>
    <t>Набор 12пр ложек для мороженного 21см Saxophone</t>
  </si>
  <si>
    <t>12пр набор вилок для десерта Pure</t>
  </si>
  <si>
    <t>12пр набор столовых ножей Evita</t>
  </si>
  <si>
    <t>12пр набор столовых ложек Evita</t>
  </si>
  <si>
    <t>12пр набор вилок для десерта Evita</t>
  </si>
  <si>
    <t>12пр набор чайных ложек Evita</t>
  </si>
  <si>
    <t>12пр набор столовых ножей Quadro</t>
  </si>
  <si>
    <t>12пр набор столовых ложек Quadro</t>
  </si>
  <si>
    <t>12пр набор столовых вилок Quadro</t>
  </si>
  <si>
    <t>12пр набор чайных ложек Quadro</t>
  </si>
  <si>
    <t>12пр набор вилок для десерта Quadro</t>
  </si>
  <si>
    <t>12пр набор столовых ножей Pure</t>
  </si>
  <si>
    <t>12пр набор столовых ложек Pure</t>
  </si>
  <si>
    <t>12пр набор столовых вилок Pure</t>
  </si>
  <si>
    <t>12пр набор чайных ложек Pure</t>
  </si>
  <si>
    <t>Набор 12пр столовых ложек 20,5см Gastronomie</t>
  </si>
  <si>
    <t>Набор 12пр универсальных столовых ложек 20см Gastronomie</t>
  </si>
  <si>
    <t>Набор 12пр столовых ножей 23,5см Gastronomie</t>
  </si>
  <si>
    <t>Набор 12пр универсальных вилок 18см Cosmos</t>
  </si>
  <si>
    <t>Набор 12пр столовых ложек 21см Cosmos</t>
  </si>
  <si>
    <t>Набор 12пр универсальных столовых ложек 20,5см Cosmos</t>
  </si>
  <si>
    <t>Набор 12пр десертных ложек 18см Cosmos</t>
  </si>
  <si>
    <t>Набор 12пр кофейных ложек 11,5см Cosmos</t>
  </si>
  <si>
    <t>Набор 12пр чайных ложек 15см Cosmos</t>
  </si>
  <si>
    <t>Набор 12пр столовых ножей 24см Cosmos</t>
  </si>
  <si>
    <t>Набор 12пр столовых ножей 22,5см Bistro</t>
  </si>
  <si>
    <t>Набор 12пр столовых вилок 20см Bistro</t>
  </si>
  <si>
    <t>Набор 12пр десертных вилок 14см Bistro</t>
  </si>
  <si>
    <t>Набор 12пр столовых ложек 20,5см Bistro</t>
  </si>
  <si>
    <t>Набор столовых приборов 3пр в чехле Leo</t>
  </si>
  <si>
    <t>Набор столовых приборов для десерта 7пр</t>
  </si>
  <si>
    <t>Набор 4пр половников 32см Saxophone</t>
  </si>
  <si>
    <t>06 Кухонные и барные принадлежности и инструменты</t>
  </si>
  <si>
    <t>Набор 7пр кухонных принадлежностей Orion</t>
  </si>
  <si>
    <t>Набор 6пр для кухни и бара Orion</t>
  </si>
  <si>
    <t>Набор 12пр силиконовых ложек для салата 29,5см (на дисплее) Geminis</t>
  </si>
  <si>
    <t>Набор 12пр силиконовых кухонных лопаток средних 25см (на дисплее) Geminis</t>
  </si>
  <si>
    <t>Набор 12пр силиконовых кухонных лопаток 25,5см (на дисплее) Geminis</t>
  </si>
  <si>
    <t>Набор 12пр силиконовых кисточек средних 22см (на дисплее) Geminis</t>
  </si>
  <si>
    <t>Набор 12пр венчиков силиконовых 27см (на дисплее) Geminis</t>
  </si>
  <si>
    <t>Набор 3пр силиконовых кухонных принадлежностей (оранжевые)</t>
  </si>
  <si>
    <t>Набор 3пр силиконовых кухонных принадлежностей (фиолетовые)</t>
  </si>
  <si>
    <t>Набор 2пр ножницы в магнитном футляре 25,5см Studio</t>
  </si>
  <si>
    <t>Ножницы для разделки птицы 25см Orion</t>
  </si>
  <si>
    <t>Ножницы с мульти-лезвиями и кистью 20,5см Studio</t>
  </si>
  <si>
    <t>Ножницы с мульти-лезвиями и кистью</t>
  </si>
  <si>
    <t>Ножницы для разделки птицы и рыбы 25см CooknCo</t>
  </si>
  <si>
    <t>Ножницы для разделки птицы и рыбы 24,5см Eclipse</t>
  </si>
  <si>
    <t>2пр набор ножниц в магнитном футляре</t>
  </si>
  <si>
    <t>Ножницы кухонные 21,5см Essentials</t>
  </si>
  <si>
    <t>Ножницы 25см Essentials</t>
  </si>
  <si>
    <t>Терка 4-х сторонняя квадратная 22см</t>
  </si>
  <si>
    <t>Терка 4-х сторонняя пирамида 23см</t>
  </si>
  <si>
    <t>Терка овальная 15,5см</t>
  </si>
  <si>
    <t>Терка 3-х сторонняя 24см</t>
  </si>
  <si>
    <t>Терка овальная 23см</t>
  </si>
  <si>
    <t>Терка 4-х сторонняя 16,5см</t>
  </si>
  <si>
    <t>Терка 4-х сторонняя 23см</t>
  </si>
  <si>
    <t>Терка 3-х сторонняя 20см</t>
  </si>
  <si>
    <t>Набор терок 5пр (для миски 16см) Zeno</t>
  </si>
  <si>
    <t>Овощерезка настраиваемая 30*14*11см CooknCo</t>
  </si>
  <si>
    <t>Нож-решетка для нарезки яблок и картофеля 19,5*19,5*3,5см CooknCo</t>
  </si>
  <si>
    <t>Многофункциональный набор для измельчения/нарезки 27,5*12,5*12см CooknCo</t>
  </si>
  <si>
    <t>Набор для приготовления салата 24*27см CooknCo</t>
  </si>
  <si>
    <t>Набор для салата с терками ø26,5см CooknCo</t>
  </si>
  <si>
    <t>Набор терок 12*10,5*24см CooknCo</t>
  </si>
  <si>
    <t>Терка ручная 33*11*2см CooknCo</t>
  </si>
  <si>
    <t>Пресс для чеснока 19см CooknCo</t>
  </si>
  <si>
    <t>Лопатка для рыбы с отверстиями 32,5см Studio</t>
  </si>
  <si>
    <t>Лопатка с отверстиями 32,5см Studio</t>
  </si>
  <si>
    <t>Ложка сервировочная 32см Studio</t>
  </si>
  <si>
    <t>Лопатка для переворачивания 32см Studio</t>
  </si>
  <si>
    <t>Дуршлаг силиконовый 38*20,5*7см Studio</t>
  </si>
  <si>
    <t>Лопатка для переворачивания (чёрный нейлон) 29,5см Studio</t>
  </si>
  <si>
    <t>Лопатка для переворачивания (чёрный нейлон) 20см Studio</t>
  </si>
  <si>
    <t>Лопатка для переворачивания круглая (чёрный нейлон) 29,5см Studio</t>
  </si>
  <si>
    <t>Лопатка треугольная 34,5см Cubo</t>
  </si>
  <si>
    <t>Лопатка нейлоновая 40,5см Cubo</t>
  </si>
  <si>
    <t>Лопатка с отверстиями 40,5см Cubo</t>
  </si>
  <si>
    <t>Шумовка нейлоновая 35см Cubo</t>
  </si>
  <si>
    <t>Ложка сервировочная 35см Cubo</t>
  </si>
  <si>
    <t>Молоток для отбивания мяса Hotel</t>
  </si>
  <si>
    <t>Штопор 11см Hotel</t>
  </si>
  <si>
    <t>Лопатка с отверстиями 23,5см Straight</t>
  </si>
  <si>
    <t>Штопор 21см Straight</t>
  </si>
  <si>
    <t>Лопатка 33см Straight</t>
  </si>
  <si>
    <t>Лопатка с отверстиями 34,5см Straight</t>
  </si>
  <si>
    <t>Ложка сервировочная 34см Straight</t>
  </si>
  <si>
    <t>Венчик силиконовый 23см Studio</t>
  </si>
  <si>
    <t>Ложка сервировочная 34,5см Straight</t>
  </si>
  <si>
    <t>Вилка для мяса 37см Studio</t>
  </si>
  <si>
    <t>Ложка сервировочная 36см Studio</t>
  </si>
  <si>
    <t>Лопатка с отверстиями 38см Studio</t>
  </si>
  <si>
    <t>Орехокол 17см Orion</t>
  </si>
  <si>
    <t>Штопор 19,5см Squalo</t>
  </si>
  <si>
    <t>Консервный нож Squalo</t>
  </si>
  <si>
    <t>Пресс для чеснока 18,5см Squalo</t>
  </si>
  <si>
    <t>Нож для пиццы 19см Squalo</t>
  </si>
  <si>
    <t>Орехокол серии Squalo</t>
  </si>
  <si>
    <t>Консервный нож Cubo</t>
  </si>
  <si>
    <t>Набор 6пр пиллеров вертикальных 17см (на дисплее) Neo</t>
  </si>
  <si>
    <t>Набор 6пр ножей для выемки сердцевины яблока 18,5см (на дисплее) Neo</t>
  </si>
  <si>
    <t>Дуршлаг 24см Studio</t>
  </si>
  <si>
    <t>Дуршлаг круглый 19,5*8см Geminis</t>
  </si>
  <si>
    <t>Дуршлаг круглый 28,5*8,5см Geminis</t>
  </si>
  <si>
    <t>Дуршлаг круглый 22,5см</t>
  </si>
  <si>
    <t>Дуршлаг круглый 25,5см</t>
  </si>
  <si>
    <t>Щипцы сервировочные нейлоновые 27см</t>
  </si>
  <si>
    <t>Щипцы сервировочные нейлоновые 34см</t>
  </si>
  <si>
    <t>Щипцы сервировочные нейлоновые 26см</t>
  </si>
  <si>
    <t>Щипцы сервировочные нейлоновые 33см</t>
  </si>
  <si>
    <t>Вилка бамбуковая 30,5см Earthchef</t>
  </si>
  <si>
    <t>Лопатка бамбуковая с отверстиями 30,5см Earthchef</t>
  </si>
  <si>
    <t>Шумовка 35,5см Eclipse</t>
  </si>
  <si>
    <t>Половник для соуса 29,5см Eclipse</t>
  </si>
  <si>
    <t>Набор для сервировки салата 33см Eclipse</t>
  </si>
  <si>
    <t>Вилка для мяса 33см Eclipse</t>
  </si>
  <si>
    <t>Открывалка для бутылок 15,5см Eclipse</t>
  </si>
  <si>
    <t>Набор 6пр штопоров 19см (на дисплее) Lover by Lover</t>
  </si>
  <si>
    <t>Набор 12пр открывалок для бутылок 11,5см (на дисплее) Lover by Lover</t>
  </si>
  <si>
    <t>Пиллер вертикальный с пластиковой ручкой 17,5см Leo</t>
  </si>
  <si>
    <t>Пиллер вертикальный с деревянной ручкой 17,5см Leo</t>
  </si>
  <si>
    <t>Пиллер для чистки овощей горизонтальный (с мелкими зубчиками) Leo</t>
  </si>
  <si>
    <t>Горизонтальный пилер для чистки овощей (с инструментом для цедры) Leo</t>
  </si>
  <si>
    <t>Горизонтальный пилер для чистки овощей зубчатый Leo</t>
  </si>
  <si>
    <t>Нож для пиццы Leo</t>
  </si>
  <si>
    <t>Пресс для равиолли с пластиковой ручкой 13*8*8см Leo</t>
  </si>
  <si>
    <t>Пресс для равиолли с деревянной ручкой 13*8*8см Leo</t>
  </si>
  <si>
    <t>Пресс для мини равиолли с пластиковой ручкой 11,5*5*5см Leo</t>
  </si>
  <si>
    <t>Пресс для мини равиолли с деревянной ручкой 11,5*5*5см Leo</t>
  </si>
  <si>
    <t>Ручной пресс для цитрусовых 13*7см Leo</t>
  </si>
  <si>
    <t>Ручной пресс для цитрусовых 7*13см Leo</t>
  </si>
  <si>
    <t>Ложка для мороженного 18,5см Leo</t>
  </si>
  <si>
    <t>Пресс для картофеля 23,5*8,5см Leo</t>
  </si>
  <si>
    <t>Пресс для картофеля 8,5*23,5см Leo (деревянная ручка)</t>
  </si>
  <si>
    <t>Венчик с пластиковой ручкой 28см Leo</t>
  </si>
  <si>
    <t>Венчик с деревянной ручкой 28см Leo</t>
  </si>
  <si>
    <t>Силиконовый венчик Leo (оранжевый)</t>
  </si>
  <si>
    <t>Молоток для отбивания мяса 17см Leo</t>
  </si>
  <si>
    <t>Набор шинковок ø13см Leo</t>
  </si>
  <si>
    <t>Нож для зелени 8см и досочка Leo</t>
  </si>
  <si>
    <t>Лопатка для переворачивания 14,5см Leo</t>
  </si>
  <si>
    <t>Лопатка 10,5см Leo</t>
  </si>
  <si>
    <t>Терка для чеснока и имбиря 23*9*3см Leo</t>
  </si>
  <si>
    <t>Шумовка нейлоновая розовая 32,5см Leo</t>
  </si>
  <si>
    <t>Набор 2пр для сервировки салата нейлоновый 30,5см Leo (розовый)</t>
  </si>
  <si>
    <t>Половник нейлоновый 31,5см Leo (розовый)</t>
  </si>
  <si>
    <t>Сервировочная вилка для спагетти нейлоновая 31см Leo (розовая)</t>
  </si>
  <si>
    <t>Сервировочная ложка нейлоновая 32,5см Leo (розовая)</t>
  </si>
  <si>
    <t>Набор 2пр для сервировки салата нейлоновый 30,5см Leo (серый)</t>
  </si>
  <si>
    <t>Шумовка нейлоновая 32см Leo (серая)</t>
  </si>
  <si>
    <t>Сервировочная ложка нейлоновая 32,5см Leo (серая)</t>
  </si>
  <si>
    <t>Сервировочная ложка для спагетти нейлоновая 31см Leo (серая)</t>
  </si>
  <si>
    <t>Половник силиконовый 31,5см Leo (серый)</t>
  </si>
  <si>
    <t>Щипцы нейлоновые  28см Leo (серые)</t>
  </si>
  <si>
    <t>Щипцы нейлоновые 28см Leo (розовые)</t>
  </si>
  <si>
    <t>Набор 2пр для сервировки салата деревянные 30см Leo</t>
  </si>
  <si>
    <t>Ложка сервировочная 32,5см CooknCo Duet</t>
  </si>
  <si>
    <t>Лопатка с отверстиями 34,5см CooknCo Duet</t>
  </si>
  <si>
    <t>Вилка для мяса 34см CooknCo Duet</t>
  </si>
  <si>
    <t>Шумовка 36,5см CooknCo Duet</t>
  </si>
  <si>
    <t>Лопатка китайская 34см CooknCo Duet</t>
  </si>
  <si>
    <t>Ложка для риса 26см CooknCo Duet</t>
  </si>
  <si>
    <t>Ложка для спагетти 32см CooknCo Duet</t>
  </si>
  <si>
    <t>Нож для выемки сердцевины яблока 21см CooknCo Duet</t>
  </si>
  <si>
    <t>Сито 21,5*7*3см CooknCo</t>
  </si>
  <si>
    <t>Сито 27*12*5см CooknCo</t>
  </si>
  <si>
    <t>Сито 34,5*15*5см CooknCo</t>
  </si>
  <si>
    <t>Щипцы сервировочные для спагетти 20,5см CooknCo</t>
  </si>
  <si>
    <t>Щипцы сервировочный для салата 23,5см CooknCo</t>
  </si>
  <si>
    <t>Щипцы сервировочные для овощей 24см CooknCo</t>
  </si>
  <si>
    <t>Щипцы сервировочные для мяса 24см CooknCo</t>
  </si>
  <si>
    <t>Ступка маленькая с пестиком и крышкой Leo</t>
  </si>
  <si>
    <t>Ступка большая с пестиком Leo</t>
  </si>
  <si>
    <t>Щипцы деревянные Leo</t>
  </si>
  <si>
    <t>Набор ложек для сервировки из бамбука Leo</t>
  </si>
  <si>
    <t>Молоток для отбивания мяса 25,5см CooknCo</t>
  </si>
  <si>
    <t>Венчик Geminis</t>
  </si>
  <si>
    <t>Дуршлаг круглый 19,5см</t>
  </si>
  <si>
    <t>07 Аксессуары</t>
  </si>
  <si>
    <t>3950025K</t>
  </si>
  <si>
    <t>Набор 3пр для приготовления пиццы</t>
  </si>
  <si>
    <t>Терка 4-х сторонняя</t>
  </si>
  <si>
    <t>Штопор для вина Hotel</t>
  </si>
  <si>
    <t>Набор фондю из чугуна 12пр Neo</t>
  </si>
  <si>
    <t>Набор фондю для шоколада 6пр, Lover by Lover</t>
  </si>
  <si>
    <t>Масленка с металлической крышкой 18,5*12,5*7,5см Cubo</t>
  </si>
  <si>
    <t>Мельница для перца 5х16,5 см</t>
  </si>
  <si>
    <t>Мельница для перца 26,5*6см Essentials</t>
  </si>
  <si>
    <t>Набор для соли и перца 18см Pyramid</t>
  </si>
  <si>
    <t>Мельница для соли и перца 19*6,5см Duo</t>
  </si>
  <si>
    <t>Набор для соли и перца 18см Round</t>
  </si>
  <si>
    <t>Набор 2пр мельница для соли и перца 16*5см Geminis</t>
  </si>
  <si>
    <t>Солонка Geminis 4*10см</t>
  </si>
  <si>
    <t>Перечница Geminis 4*10см</t>
  </si>
  <si>
    <t>Баночка дозатор для сахарной пудры Geminis 4*10см</t>
  </si>
  <si>
    <t>Баночка дозатор для специй мелкого помола Geminis 4*10см</t>
  </si>
  <si>
    <t>Баночка дозатор для специй крупного помола Geminis 4*10см</t>
  </si>
  <si>
    <t>Солонка 5*6см Studio</t>
  </si>
  <si>
    <t>Перечница 5*6см Studio</t>
  </si>
  <si>
    <t>Баночка дозатор для сахарной пудры 5*6см Studio</t>
  </si>
  <si>
    <t>Баночка дозатор для специй мелкого помола 5*6см Studio</t>
  </si>
  <si>
    <t>Баночка дозатор для специй крупного помола 5*6см Studio</t>
  </si>
  <si>
    <t>Конфетница двухъярусная 29см Lover by Lover</t>
  </si>
  <si>
    <t>Сахарница с крышкой 9*9*11,5см 0,4л Straight Deluxe</t>
  </si>
  <si>
    <t>Блюдо сервировочное овальное с тремя сегментами 350х240мм Straight</t>
  </si>
  <si>
    <t>Блюдо круглое 300мм Straight</t>
  </si>
  <si>
    <t>Блюдо серверовочное овальное 600х320мм Straight</t>
  </si>
  <si>
    <t>Блюдо серверовочное овальное 400х255мм Straight</t>
  </si>
  <si>
    <t>Сливочник 0,4л Straight Deluxe</t>
  </si>
  <si>
    <t>Набор формовочных колец для укладки пищи 15пр</t>
  </si>
  <si>
    <t>Набор форм для укладки пищи 13пр Neo</t>
  </si>
  <si>
    <t>Набор 48пр подсвечники пробковые Eclipse</t>
  </si>
  <si>
    <t>Набор 24пр подставки под тарелку пробковые 44*30см Eclipse</t>
  </si>
  <si>
    <t>Набор 2пр подносов нескользящих CooknCo</t>
  </si>
  <si>
    <t>Пищевой контейнер 0,35л CooknCo</t>
  </si>
  <si>
    <t>Хлебница бамбуковая с крышкой разделочной доской 21,5*31,5*15см Leo</t>
  </si>
  <si>
    <t>Доска разделочная бамбуковая с силиконовыми накладками 43*10*1,5см (узкая) Studio</t>
  </si>
  <si>
    <t>Доска разделочная бамбуковая с силиконовыми накладками 38*28*3см (профессиональная) Studio</t>
  </si>
  <si>
    <t>Доска разделочная бамбуковая с силиконовыми накладками 40*22*3см (для хлеба) Studio</t>
  </si>
  <si>
    <t>Доска разделочная стеклянная 40*30см Essentials</t>
  </si>
  <si>
    <t>Доска разделочная бамбуковая 45*30*4см Neo</t>
  </si>
  <si>
    <t>Доска для пиццы 45,5*34*1см Leo</t>
  </si>
  <si>
    <t>Овальная тарелка с бабуковой доской 34,5*20,5*3,5см Leo</t>
  </si>
  <si>
    <t>Доска разделочная бамбуковая с тарелкой 36,5*2см Leo</t>
  </si>
  <si>
    <t>Набор 2пр для острой закуски с разделочной доской-подносом 39*23*2,5см Leo</t>
  </si>
  <si>
    <t>Набор 2пр с доской для хлеба и подносом 37*11*2см Leo</t>
  </si>
  <si>
    <t>Доска разделочная бамбуковая 37*27*1,5 Leo</t>
  </si>
  <si>
    <t>Доска разделочная бамбуковая 28*20*2 Leo</t>
  </si>
  <si>
    <t>Длинная бамбуковая разделочная доска 44*10*1,5 Leo</t>
  </si>
  <si>
    <t>Доска разделочная бамбуковая (с углом) 41*30,5см Leo</t>
  </si>
  <si>
    <t>Доска разделочная квадратная деревянная</t>
  </si>
  <si>
    <t>Доска мультифункциональная 2-сторонняя 22*38*2,5см Ron</t>
  </si>
  <si>
    <t>Доска мультифункциональная 2-сторонняя 36*30*2см Ron</t>
  </si>
  <si>
    <t>Стеклянная крышка 24см Scala</t>
  </si>
  <si>
    <t>Стеклянная крышка 26см Scala</t>
  </si>
  <si>
    <t>Крышка стеклянная 20см GEM</t>
  </si>
  <si>
    <t>Крышка стеклянная 24см GEM</t>
  </si>
  <si>
    <t>Крышка стеклянная 28см GEM</t>
  </si>
  <si>
    <t>Набор силиконовых подставок 7пр 12,5*12,5 Neo</t>
  </si>
  <si>
    <t>Подставка для ложки 16*11*13,5см CooknCo</t>
  </si>
  <si>
    <t>1108421А</t>
  </si>
  <si>
    <t>Подставка для салфеток</t>
  </si>
  <si>
    <t>Держатель для бумажного полотенца 17*17*28,5см Leo</t>
  </si>
  <si>
    <t>Подставка для ложки, половника, планшета 12,5*4см Leo (розовая)</t>
  </si>
  <si>
    <t>Подставка для ложки, половника, планшета 12,5*4см Leo (мятного цвета)</t>
  </si>
  <si>
    <t>Подставка для ложки, половника, планшета 12,5*4см Leo (серая)</t>
  </si>
  <si>
    <t>Фартук Lover by Lover</t>
  </si>
  <si>
    <t>Кухонная рукавица Lover by Lover</t>
  </si>
  <si>
    <t>Весы электронные кухонные Studio</t>
  </si>
  <si>
    <t>Весы электронные кухонные с чашей Auriga</t>
  </si>
  <si>
    <t>Спортивная бутылка 0,75л CooknCo</t>
  </si>
  <si>
    <t>Спортивная бутылка 0,75л (зеленая) CooknCo</t>
  </si>
  <si>
    <t>Ведерко для льда 3пр Zeno</t>
  </si>
  <si>
    <t>Ведро для охлаждения шампанского Zeno</t>
  </si>
  <si>
    <t>Соковыжималка Zeno</t>
  </si>
  <si>
    <t>Набор охотника 5пр (фляжка и 4 рюмки)</t>
  </si>
  <si>
    <t>08 Емкости и миски</t>
  </si>
  <si>
    <t>2пр набор мисок для фруктов Zeno</t>
  </si>
  <si>
    <t>Миска стальная с крышкой-подставкой 24см 6,1л Zeno</t>
  </si>
  <si>
    <t>Миска стальная с крышкой-подставкой 20см 3,5л Zeno</t>
  </si>
  <si>
    <t>Миска стальная с крышкой-подставкой 16см 1,7л Zeno</t>
  </si>
  <si>
    <t>Емкость для хранения сыпучих продуктов с крышкой 10*7,5см 0,4л Studio</t>
  </si>
  <si>
    <t>Емкость для хранения сыпучих продуктов с крышкой 10*11см 0,6л Studio</t>
  </si>
  <si>
    <t>Емкость для хранения сыпучих продуктов с крышкой 12*11см 0,9л Studio</t>
  </si>
  <si>
    <t>Миска с крышкой (нескользящее резиновое дно) 16см 1,5л Orion</t>
  </si>
  <si>
    <t>Миска с крышкой (нескользящее резиновое дно) 20см 3л Orion</t>
  </si>
  <si>
    <t>Емкость для хранения сыпучих продуктов 1л 12*10см Neo</t>
  </si>
  <si>
    <t>Емкость для хранения сыпучих продуктов 0,5л 8,5*11см Neo</t>
  </si>
  <si>
    <t>Миска с крышкой (прорезиненное дно) 1,5л 16см Eclipse</t>
  </si>
  <si>
    <t>Миска с крышкой (прорезиненное дно) 3л 20см Eclipse</t>
  </si>
  <si>
    <t>Миска с крышкой (прорезиненное дно) 4,5л 24см Eclipse</t>
  </si>
  <si>
    <t>8 пр. Набор мисок с резиновым нескользящим дном, серии Geminis</t>
  </si>
  <si>
    <t>Емкость для хранения сыпучих продуктов с отвертиями Eclipse</t>
  </si>
  <si>
    <t>Емкость для сыпучих продуктов с мерной ложкой 12*16см Eclipse</t>
  </si>
  <si>
    <t>Емкость для сыпучих продуктов 10*7,5cм Eclipse</t>
  </si>
  <si>
    <t>Емкость для макарон 10*30см Eclipse</t>
  </si>
  <si>
    <t>Емкость для хранения сыпучих продуктов с бамбуковой крышкой 11*13,5см Leo</t>
  </si>
  <si>
    <t>Емкость для хранения сыпучих продуктов с крышкой 12*10см</t>
  </si>
  <si>
    <t>Емкость для хранения сыпучих продуктов с бамбуковой крышкой 15*8см Leo</t>
  </si>
  <si>
    <t>Миска с крышкой 22*22*11см Leo</t>
  </si>
  <si>
    <t>Миска с крышкой 24*24*9см Leo</t>
  </si>
  <si>
    <t>Менажница Leo</t>
  </si>
  <si>
    <t>Набор 6пр мисочек 10*10*5см на подставке Leo</t>
  </si>
  <si>
    <t>Набор 2пр мисок сервировочных (2,3л и 3,5л) Leo</t>
  </si>
  <si>
    <t>Набор 2пр мисочек 16*6см Leo</t>
  </si>
  <si>
    <t>Набор 3пр мисочек 0,27л на бамбуковой подставке Leo</t>
  </si>
  <si>
    <t>Миска для салата (24*10см) с сервировочними приборами (30*6см) Leo</t>
  </si>
  <si>
    <t>Двойной контейнер для ланча Leo</t>
  </si>
  <si>
    <t>3пр Набор стеклянных контейнеров для хранения Leo</t>
  </si>
  <si>
    <t>Набор 2пр пищевых контейнера Leo</t>
  </si>
  <si>
    <t>Набор вакуумных контейнеров 4пр Leo</t>
  </si>
  <si>
    <t>Набор 5пр пищевых контейнеров с герметизирующей крышкой Leo</t>
  </si>
  <si>
    <t>Бутылочка дозатор для масла Leo</t>
  </si>
  <si>
    <t>Стеклянный контейнер для спагетти Leo</t>
  </si>
  <si>
    <t>Пищевой контейнер с эффектом термоса 350мл Leo (мятного цвета)</t>
  </si>
</sst>
</file>

<file path=xl/styles.xml><?xml version="1.0" encoding="utf-8"?>
<styleSheet xmlns="http://schemas.openxmlformats.org/spreadsheetml/2006/main">
  <fonts count="9">
    <font>
      <sz val="11"/>
      <color rgb="FF000000"/>
      <name val="Calibri"/>
    </font>
    <font>
      <sz val="10.5"/>
      <color indexed="8"/>
      <name val="Calibri"/>
    </font>
    <font>
      <b/>
      <sz val="9"/>
      <color indexed="8"/>
      <name val="Calibri"/>
    </font>
    <font>
      <b/>
      <sz val="10"/>
      <color indexed="8"/>
      <name val="Calibri"/>
    </font>
    <font>
      <b/>
      <i/>
      <sz val="10"/>
      <color indexed="8"/>
      <name val="Calibri"/>
    </font>
    <font>
      <b/>
      <i/>
      <sz val="10"/>
      <color indexed="23"/>
      <name val="Calibri"/>
    </font>
    <font>
      <b/>
      <sz val="14"/>
      <color indexed="8"/>
      <name val="Calibri"/>
    </font>
    <font>
      <b/>
      <sz val="9"/>
      <color indexed="40"/>
      <name val="Calibri"/>
    </font>
    <font>
      <b/>
      <sz val="9"/>
      <color indexed="17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4"/>
        <bgColor indexed="8"/>
      </patternFill>
    </fill>
  </fills>
  <borders count="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">
    <xf numFmtId="0" fontId="0" fillId="0" borderId="0"/>
  </cellStyleXfs>
  <cellXfs count="24">
    <xf numFmtId="0" fontId="0" fillId="0" borderId="0" xfId="0"/>
    <xf numFmtId="2" fontId="0" fillId="0" borderId="0" xfId="0" applyNumberFormat="1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 indent="1"/>
    </xf>
    <xf numFmtId="0" fontId="1" fillId="3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6" fillId="4" borderId="2" xfId="0" applyFont="1" applyFill="1" applyBorder="1" applyAlignment="1">
      <alignment horizontal="left" vertical="center" indent="1"/>
    </xf>
    <xf numFmtId="0" fontId="6" fillId="4" borderId="3" xfId="0" applyFont="1" applyFill="1" applyBorder="1" applyAlignment="1">
      <alignment horizontal="left" vertical="center" indent="1"/>
    </xf>
    <xf numFmtId="0" fontId="6" fillId="4" borderId="4" xfId="0" applyFont="1" applyFill="1" applyBorder="1" applyAlignment="1">
      <alignment horizontal="left" vertical="center" indent="1"/>
    </xf>
    <xf numFmtId="0" fontId="6" fillId="2" borderId="2" xfId="0" applyFont="1" applyFill="1" applyBorder="1" applyAlignment="1">
      <alignment horizontal="left" vertical="center" indent="1"/>
    </xf>
    <xf numFmtId="0" fontId="6" fillId="2" borderId="3" xfId="0" applyFont="1" applyFill="1" applyBorder="1" applyAlignment="1">
      <alignment horizontal="left" vertical="center" indent="1"/>
    </xf>
    <xf numFmtId="0" fontId="6" fillId="2" borderId="4" xfId="0" applyFont="1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831" Type="http://schemas.openxmlformats.org/officeDocument/2006/relationships/image" Target="../media/image831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929" Type="http://schemas.openxmlformats.org/officeDocument/2006/relationships/image" Target="../media/image92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940" Type="http://schemas.openxmlformats.org/officeDocument/2006/relationships/image" Target="../media/image94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842" Type="http://schemas.openxmlformats.org/officeDocument/2006/relationships/image" Target="../media/image842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951" Type="http://schemas.openxmlformats.org/officeDocument/2006/relationships/image" Target="../media/image951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853" Type="http://schemas.openxmlformats.org/officeDocument/2006/relationships/image" Target="../media/image853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962" Type="http://schemas.openxmlformats.org/officeDocument/2006/relationships/image" Target="../media/image962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864" Type="http://schemas.openxmlformats.org/officeDocument/2006/relationships/image" Target="../media/image86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931" Type="http://schemas.openxmlformats.org/officeDocument/2006/relationships/image" Target="../media/image93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33" Type="http://schemas.openxmlformats.org/officeDocument/2006/relationships/image" Target="../media/image833.jpeg"/><Relationship Id="rId875" Type="http://schemas.openxmlformats.org/officeDocument/2006/relationships/image" Target="../media/image875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00" Type="http://schemas.openxmlformats.org/officeDocument/2006/relationships/image" Target="../media/image900.jpeg"/><Relationship Id="rId942" Type="http://schemas.openxmlformats.org/officeDocument/2006/relationships/image" Target="../media/image94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77" Type="http://schemas.openxmlformats.org/officeDocument/2006/relationships/image" Target="../media/image777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44" Type="http://schemas.openxmlformats.org/officeDocument/2006/relationships/image" Target="../media/image844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911" Type="http://schemas.openxmlformats.org/officeDocument/2006/relationships/image" Target="../media/image91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53" Type="http://schemas.openxmlformats.org/officeDocument/2006/relationships/image" Target="../media/image95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855" Type="http://schemas.openxmlformats.org/officeDocument/2006/relationships/image" Target="../media/image85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897" Type="http://schemas.openxmlformats.org/officeDocument/2006/relationships/image" Target="../media/image897.jpeg"/><Relationship Id="rId922" Type="http://schemas.openxmlformats.org/officeDocument/2006/relationships/image" Target="../media/image922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964" Type="http://schemas.openxmlformats.org/officeDocument/2006/relationships/image" Target="../media/image96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26" Type="http://schemas.openxmlformats.org/officeDocument/2006/relationships/image" Target="../media/image726.jpeg"/><Relationship Id="rId768" Type="http://schemas.openxmlformats.org/officeDocument/2006/relationships/image" Target="../media/image768.jpeg"/><Relationship Id="rId933" Type="http://schemas.openxmlformats.org/officeDocument/2006/relationships/image" Target="../media/image933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877" Type="http://schemas.openxmlformats.org/officeDocument/2006/relationships/image" Target="../media/image877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44" Type="http://schemas.openxmlformats.org/officeDocument/2006/relationships/image" Target="../media/image944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46" Type="http://schemas.openxmlformats.org/officeDocument/2006/relationships/image" Target="../media/image846.jpeg"/><Relationship Id="rId888" Type="http://schemas.openxmlformats.org/officeDocument/2006/relationships/image" Target="../media/image888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913" Type="http://schemas.openxmlformats.org/officeDocument/2006/relationships/image" Target="../media/image913.jpeg"/><Relationship Id="rId955" Type="http://schemas.openxmlformats.org/officeDocument/2006/relationships/image" Target="../media/image95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899" Type="http://schemas.openxmlformats.org/officeDocument/2006/relationships/image" Target="../media/image899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924" Type="http://schemas.openxmlformats.org/officeDocument/2006/relationships/image" Target="../media/image924.jpeg"/><Relationship Id="rId966" Type="http://schemas.openxmlformats.org/officeDocument/2006/relationships/image" Target="../media/image96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770" Type="http://schemas.openxmlformats.org/officeDocument/2006/relationships/image" Target="../media/image77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868" Type="http://schemas.openxmlformats.org/officeDocument/2006/relationships/image" Target="../media/image868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eg"/><Relationship Id="rId879" Type="http://schemas.openxmlformats.org/officeDocument/2006/relationships/image" Target="../media/image879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946" Type="http://schemas.openxmlformats.org/officeDocument/2006/relationships/image" Target="../media/image94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848" Type="http://schemas.openxmlformats.org/officeDocument/2006/relationships/image" Target="../media/image84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968" Type="http://schemas.openxmlformats.org/officeDocument/2006/relationships/image" Target="../media/image968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37" Type="http://schemas.openxmlformats.org/officeDocument/2006/relationships/image" Target="../media/image937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948" Type="http://schemas.openxmlformats.org/officeDocument/2006/relationships/image" Target="../media/image94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959" Type="http://schemas.openxmlformats.org/officeDocument/2006/relationships/image" Target="../media/image95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970" Type="http://schemas.openxmlformats.org/officeDocument/2006/relationships/image" Target="../media/image970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928" Type="http://schemas.openxmlformats.org/officeDocument/2006/relationships/image" Target="../media/image92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950" Type="http://schemas.openxmlformats.org/officeDocument/2006/relationships/image" Target="../media/image95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61" Type="http://schemas.openxmlformats.org/officeDocument/2006/relationships/image" Target="../media/image961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930" Type="http://schemas.openxmlformats.org/officeDocument/2006/relationships/image" Target="../media/image93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1162050</xdr:colOff>
      <xdr:row>4</xdr:row>
      <xdr:rowOff>123825</xdr:rowOff>
    </xdr:to>
    <xdr:pic>
      <xdr:nvPicPr>
        <xdr:cNvPr id="102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66675"/>
          <a:ext cx="2590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2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27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28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29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0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1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2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3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4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5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6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7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8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39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26</xdr:row>
      <xdr:rowOff>9525</xdr:rowOff>
    </xdr:from>
    <xdr:to>
      <xdr:col>2</xdr:col>
      <xdr:colOff>409575</xdr:colOff>
      <xdr:row>161</xdr:row>
      <xdr:rowOff>571500</xdr:rowOff>
    </xdr:to>
    <xdr:pic>
      <xdr:nvPicPr>
        <xdr:cNvPr id="1040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23975" y="1885950"/>
          <a:ext cx="1143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41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42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43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44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45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46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47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48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49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0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1" name="Рисунок 2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2" name="Рисунок 2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3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4" name="Рисунок 3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5" name="Рисунок 3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6" name="Рисунок 3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7" name="Рисунок 3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8" name="Рисунок 3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59" name="Рисунок 3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0" name="Рисунок 3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1" name="Рисунок 37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2" name="Рисунок 3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3" name="Рисунок 39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4" name="Рисунок 4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5" name="Рисунок 4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6" name="Рисунок 42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7" name="Рисунок 4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8" name="Рисунок 44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69" name="Рисунок 45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0" name="Рисунок 4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1" name="Рисунок 47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2" name="Рисунок 4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3" name="Рисунок 4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4" name="Рисунок 5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5" name="Рисунок 51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6" name="Рисунок 5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7" name="Рисунок 5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8" name="Рисунок 5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79" name="Рисунок 5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0" name="Рисунок 5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1" name="Рисунок 5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2" name="Рисунок 58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3" name="Рисунок 59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4" name="Рисунок 6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5" name="Рисунок 6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6" name="Рисунок 6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7" name="Рисунок 63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8" name="Рисунок 6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89" name="Рисунок 65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0" name="Рисунок 66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1" name="Рисунок 67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2" name="Рисунок 68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3" name="Рисунок 69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4" name="Рисунок 70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5" name="Рисунок 71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6" name="Рисунок 72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7" name="Рисунок 73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8" name="Рисунок 7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099" name="Рисунок 75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0" name="Рисунок 76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1" name="Рисунок 77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2" name="Рисунок 78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3" name="Рисунок 79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4" name="Рисунок 80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5" name="Рисунок 81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6" name="Рисунок 82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7" name="Рисунок 83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8" name="Рисунок 84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09" name="Рисунок 85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0" name="Рисунок 86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1" name="Рисунок 87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2" name="Рисунок 88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3" name="Рисунок 89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4" name="Рисунок 90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5" name="Рисунок 91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6" name="Рисунок 92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7" name="Рисунок 93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8" name="Рисунок 94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19" name="Рисунок 95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0" name="Рисунок 96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1" name="Рисунок 97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2" name="Рисунок 98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3" name="Рисунок 99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4" name="Рисунок 100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5" name="Рисунок 101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6" name="Рисунок 102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7" name="Рисунок 103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8" name="Рисунок 104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29" name="Рисунок 105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118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30" name="Рисунок 106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119</xdr:row>
      <xdr:rowOff>47625</xdr:rowOff>
    </xdr:from>
    <xdr:to>
      <xdr:col>3</xdr:col>
      <xdr:colOff>0</xdr:colOff>
      <xdr:row>161</xdr:row>
      <xdr:rowOff>457200</xdr:rowOff>
    </xdr:to>
    <xdr:pic>
      <xdr:nvPicPr>
        <xdr:cNvPr id="1131" name="Рисунок 107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38225" y="188595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32" name="Рисунок 108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33" name="Рисунок 109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34" name="Рисунок 110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35" name="Рисунок 11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36" name="Рисунок 112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37" name="Рисунок 113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38" name="Рисунок 114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39" name="Рисунок 115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0" name="Рисунок 116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129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1" name="Рисунок 117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2" name="Рисунок 118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3" name="Рисунок 119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4" name="Рисунок 120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5" name="Рисунок 121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6" name="Рисунок 122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7" name="Рисунок 123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8" name="Рисунок 124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49" name="Рисунок 125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0" name="Рисунок 126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139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1" name="Рисунок 127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2" name="Рисунок 128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3" name="Рисунок 129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4" name="Рисунок 130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5" name="Рисунок 131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6" name="Рисунок 132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7" name="Рисунок 133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8" name="Рисунок 134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59" name="Рисунок 135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0" name="Рисунок 136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1" name="Рисунок 137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2" name="Рисунок 138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151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3" name="Рисунок 139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152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4" name="Рисунок 140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153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5" name="Рисунок 141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154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6" name="Рисунок 142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155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7" name="Рисунок 143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156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8" name="Рисунок 144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157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69" name="Рисунок 145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158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70" name="Рисунок 146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159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71" name="Рисунок 14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160</xdr:row>
      <xdr:rowOff>9525</xdr:rowOff>
    </xdr:from>
    <xdr:to>
      <xdr:col>2</xdr:col>
      <xdr:colOff>638175</xdr:colOff>
      <xdr:row>161</xdr:row>
      <xdr:rowOff>571500</xdr:rowOff>
    </xdr:to>
    <xdr:pic>
      <xdr:nvPicPr>
        <xdr:cNvPr id="1172" name="Рисунок 14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95375" y="1885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161</xdr:row>
      <xdr:rowOff>9525</xdr:rowOff>
    </xdr:from>
    <xdr:to>
      <xdr:col>2</xdr:col>
      <xdr:colOff>638175</xdr:colOff>
      <xdr:row>161</xdr:row>
      <xdr:rowOff>581025</xdr:rowOff>
    </xdr:to>
    <xdr:pic>
      <xdr:nvPicPr>
        <xdr:cNvPr id="1173" name="Рисунок 14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95375" y="18954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162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74" name="Рисунок 15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163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75" name="Рисунок 151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164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76" name="Рисунок 15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165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77" name="Рисунок 153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166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78" name="Рисунок 154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167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79" name="Рисунок 155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168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80" name="Рисунок 156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169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81" name="Рисунок 157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170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82" name="Рисунок 158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171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83" name="Рисунок 159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172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84" name="Рисунок 160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173</xdr:row>
      <xdr:rowOff>57150</xdr:rowOff>
    </xdr:from>
    <xdr:to>
      <xdr:col>3</xdr:col>
      <xdr:colOff>0</xdr:colOff>
      <xdr:row>178</xdr:row>
      <xdr:rowOff>457200</xdr:rowOff>
    </xdr:to>
    <xdr:pic>
      <xdr:nvPicPr>
        <xdr:cNvPr id="1185" name="Рисунок 161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38225" y="24765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174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86" name="Рисунок 162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175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87" name="Рисунок 163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177</xdr:row>
      <xdr:rowOff>9525</xdr:rowOff>
    </xdr:from>
    <xdr:to>
      <xdr:col>2</xdr:col>
      <xdr:colOff>638175</xdr:colOff>
      <xdr:row>178</xdr:row>
      <xdr:rowOff>571500</xdr:rowOff>
    </xdr:to>
    <xdr:pic>
      <xdr:nvPicPr>
        <xdr:cNvPr id="1188" name="Рисунок 164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95375" y="2476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178</xdr:row>
      <xdr:rowOff>9525</xdr:rowOff>
    </xdr:from>
    <xdr:to>
      <xdr:col>2</xdr:col>
      <xdr:colOff>638175</xdr:colOff>
      <xdr:row>178</xdr:row>
      <xdr:rowOff>581025</xdr:rowOff>
    </xdr:to>
    <xdr:pic>
      <xdr:nvPicPr>
        <xdr:cNvPr id="1189" name="Рисунок 165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95375" y="24860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179</xdr:row>
      <xdr:rowOff>9525</xdr:rowOff>
    </xdr:from>
    <xdr:to>
      <xdr:col>2</xdr:col>
      <xdr:colOff>638175</xdr:colOff>
      <xdr:row>187</xdr:row>
      <xdr:rowOff>571500</xdr:rowOff>
    </xdr:to>
    <xdr:pic>
      <xdr:nvPicPr>
        <xdr:cNvPr id="1190" name="Рисунок 166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095375" y="3067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180</xdr:row>
      <xdr:rowOff>9525</xdr:rowOff>
    </xdr:from>
    <xdr:to>
      <xdr:col>2</xdr:col>
      <xdr:colOff>638175</xdr:colOff>
      <xdr:row>187</xdr:row>
      <xdr:rowOff>571500</xdr:rowOff>
    </xdr:to>
    <xdr:pic>
      <xdr:nvPicPr>
        <xdr:cNvPr id="1191" name="Рисунок 167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95375" y="3067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181</xdr:row>
      <xdr:rowOff>9525</xdr:rowOff>
    </xdr:from>
    <xdr:to>
      <xdr:col>2</xdr:col>
      <xdr:colOff>638175</xdr:colOff>
      <xdr:row>187</xdr:row>
      <xdr:rowOff>571500</xdr:rowOff>
    </xdr:to>
    <xdr:pic>
      <xdr:nvPicPr>
        <xdr:cNvPr id="1192" name="Рисунок 168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95375" y="3067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182</xdr:row>
      <xdr:rowOff>9525</xdr:rowOff>
    </xdr:from>
    <xdr:to>
      <xdr:col>2</xdr:col>
      <xdr:colOff>638175</xdr:colOff>
      <xdr:row>187</xdr:row>
      <xdr:rowOff>571500</xdr:rowOff>
    </xdr:to>
    <xdr:pic>
      <xdr:nvPicPr>
        <xdr:cNvPr id="1193" name="Рисунок 169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95375" y="3067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183</xdr:row>
      <xdr:rowOff>9525</xdr:rowOff>
    </xdr:from>
    <xdr:to>
      <xdr:col>2</xdr:col>
      <xdr:colOff>638175</xdr:colOff>
      <xdr:row>187</xdr:row>
      <xdr:rowOff>571500</xdr:rowOff>
    </xdr:to>
    <xdr:pic>
      <xdr:nvPicPr>
        <xdr:cNvPr id="1194" name="Рисунок 170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95375" y="3067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184</xdr:row>
      <xdr:rowOff>9525</xdr:rowOff>
    </xdr:from>
    <xdr:to>
      <xdr:col>2</xdr:col>
      <xdr:colOff>638175</xdr:colOff>
      <xdr:row>187</xdr:row>
      <xdr:rowOff>571500</xdr:rowOff>
    </xdr:to>
    <xdr:pic>
      <xdr:nvPicPr>
        <xdr:cNvPr id="1195" name="Рисунок 171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95375" y="3067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185</xdr:row>
      <xdr:rowOff>9525</xdr:rowOff>
    </xdr:from>
    <xdr:to>
      <xdr:col>2</xdr:col>
      <xdr:colOff>638175</xdr:colOff>
      <xdr:row>187</xdr:row>
      <xdr:rowOff>571500</xdr:rowOff>
    </xdr:to>
    <xdr:pic>
      <xdr:nvPicPr>
        <xdr:cNvPr id="1196" name="Рисунок 172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95375" y="3067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186</xdr:row>
      <xdr:rowOff>9525</xdr:rowOff>
    </xdr:from>
    <xdr:to>
      <xdr:col>2</xdr:col>
      <xdr:colOff>638175</xdr:colOff>
      <xdr:row>187</xdr:row>
      <xdr:rowOff>571500</xdr:rowOff>
    </xdr:to>
    <xdr:pic>
      <xdr:nvPicPr>
        <xdr:cNvPr id="1197" name="Рисунок 173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5375" y="3067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187</xdr:row>
      <xdr:rowOff>9525</xdr:rowOff>
    </xdr:from>
    <xdr:to>
      <xdr:col>2</xdr:col>
      <xdr:colOff>638175</xdr:colOff>
      <xdr:row>187</xdr:row>
      <xdr:rowOff>581025</xdr:rowOff>
    </xdr:to>
    <xdr:pic>
      <xdr:nvPicPr>
        <xdr:cNvPr id="1198" name="Рисунок 174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95375" y="30765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188</xdr:row>
      <xdr:rowOff>9525</xdr:rowOff>
    </xdr:from>
    <xdr:to>
      <xdr:col>2</xdr:col>
      <xdr:colOff>638175</xdr:colOff>
      <xdr:row>197</xdr:row>
      <xdr:rowOff>571500</xdr:rowOff>
    </xdr:to>
    <xdr:pic>
      <xdr:nvPicPr>
        <xdr:cNvPr id="1199" name="Рисунок 175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95375" y="3657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189</xdr:row>
      <xdr:rowOff>9525</xdr:rowOff>
    </xdr:from>
    <xdr:to>
      <xdr:col>2</xdr:col>
      <xdr:colOff>638175</xdr:colOff>
      <xdr:row>197</xdr:row>
      <xdr:rowOff>571500</xdr:rowOff>
    </xdr:to>
    <xdr:pic>
      <xdr:nvPicPr>
        <xdr:cNvPr id="1200" name="Рисунок 176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95375" y="3657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190</xdr:row>
      <xdr:rowOff>9525</xdr:rowOff>
    </xdr:from>
    <xdr:to>
      <xdr:col>2</xdr:col>
      <xdr:colOff>638175</xdr:colOff>
      <xdr:row>197</xdr:row>
      <xdr:rowOff>571500</xdr:rowOff>
    </xdr:to>
    <xdr:pic>
      <xdr:nvPicPr>
        <xdr:cNvPr id="1201" name="Рисунок 177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95375" y="3657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191</xdr:row>
      <xdr:rowOff>9525</xdr:rowOff>
    </xdr:from>
    <xdr:to>
      <xdr:col>2</xdr:col>
      <xdr:colOff>638175</xdr:colOff>
      <xdr:row>197</xdr:row>
      <xdr:rowOff>571500</xdr:rowOff>
    </xdr:to>
    <xdr:pic>
      <xdr:nvPicPr>
        <xdr:cNvPr id="1202" name="Рисунок 178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095375" y="3657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192</xdr:row>
      <xdr:rowOff>9525</xdr:rowOff>
    </xdr:from>
    <xdr:to>
      <xdr:col>2</xdr:col>
      <xdr:colOff>638175</xdr:colOff>
      <xdr:row>197</xdr:row>
      <xdr:rowOff>571500</xdr:rowOff>
    </xdr:to>
    <xdr:pic>
      <xdr:nvPicPr>
        <xdr:cNvPr id="1203" name="Рисунок 179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95375" y="3657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193</xdr:row>
      <xdr:rowOff>9525</xdr:rowOff>
    </xdr:from>
    <xdr:to>
      <xdr:col>2</xdr:col>
      <xdr:colOff>638175</xdr:colOff>
      <xdr:row>197</xdr:row>
      <xdr:rowOff>571500</xdr:rowOff>
    </xdr:to>
    <xdr:pic>
      <xdr:nvPicPr>
        <xdr:cNvPr id="1204" name="Рисунок 180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095375" y="3657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194</xdr:row>
      <xdr:rowOff>9525</xdr:rowOff>
    </xdr:from>
    <xdr:to>
      <xdr:col>2</xdr:col>
      <xdr:colOff>638175</xdr:colOff>
      <xdr:row>197</xdr:row>
      <xdr:rowOff>571500</xdr:rowOff>
    </xdr:to>
    <xdr:pic>
      <xdr:nvPicPr>
        <xdr:cNvPr id="1205" name="Рисунок 181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95375" y="3657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195</xdr:row>
      <xdr:rowOff>9525</xdr:rowOff>
    </xdr:from>
    <xdr:to>
      <xdr:col>2</xdr:col>
      <xdr:colOff>638175</xdr:colOff>
      <xdr:row>197</xdr:row>
      <xdr:rowOff>571500</xdr:rowOff>
    </xdr:to>
    <xdr:pic>
      <xdr:nvPicPr>
        <xdr:cNvPr id="1206" name="Рисунок 182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95375" y="3657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196</xdr:row>
      <xdr:rowOff>9525</xdr:rowOff>
    </xdr:from>
    <xdr:to>
      <xdr:col>2</xdr:col>
      <xdr:colOff>638175</xdr:colOff>
      <xdr:row>197</xdr:row>
      <xdr:rowOff>571500</xdr:rowOff>
    </xdr:to>
    <xdr:pic>
      <xdr:nvPicPr>
        <xdr:cNvPr id="1207" name="Рисунок 183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95375" y="3657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197</xdr:row>
      <xdr:rowOff>9525</xdr:rowOff>
    </xdr:from>
    <xdr:to>
      <xdr:col>2</xdr:col>
      <xdr:colOff>638175</xdr:colOff>
      <xdr:row>197</xdr:row>
      <xdr:rowOff>581025</xdr:rowOff>
    </xdr:to>
    <xdr:pic>
      <xdr:nvPicPr>
        <xdr:cNvPr id="1208" name="Рисунок 184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95375" y="36671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198</xdr:row>
      <xdr:rowOff>9525</xdr:rowOff>
    </xdr:from>
    <xdr:to>
      <xdr:col>2</xdr:col>
      <xdr:colOff>638175</xdr:colOff>
      <xdr:row>199</xdr:row>
      <xdr:rowOff>571500</xdr:rowOff>
    </xdr:to>
    <xdr:pic>
      <xdr:nvPicPr>
        <xdr:cNvPr id="1209" name="Рисунок 185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95375" y="4248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199</xdr:row>
      <xdr:rowOff>9525</xdr:rowOff>
    </xdr:from>
    <xdr:to>
      <xdr:col>2</xdr:col>
      <xdr:colOff>638175</xdr:colOff>
      <xdr:row>199</xdr:row>
      <xdr:rowOff>581025</xdr:rowOff>
    </xdr:to>
    <xdr:pic>
      <xdr:nvPicPr>
        <xdr:cNvPr id="1210" name="Рисунок 186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95375" y="42576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200</xdr:row>
      <xdr:rowOff>9525</xdr:rowOff>
    </xdr:from>
    <xdr:to>
      <xdr:col>2</xdr:col>
      <xdr:colOff>638175</xdr:colOff>
      <xdr:row>201</xdr:row>
      <xdr:rowOff>571500</xdr:rowOff>
    </xdr:to>
    <xdr:pic>
      <xdr:nvPicPr>
        <xdr:cNvPr id="1211" name="Рисунок 187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95375" y="4838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201</xdr:row>
      <xdr:rowOff>9525</xdr:rowOff>
    </xdr:from>
    <xdr:to>
      <xdr:col>2</xdr:col>
      <xdr:colOff>638175</xdr:colOff>
      <xdr:row>201</xdr:row>
      <xdr:rowOff>581025</xdr:rowOff>
    </xdr:to>
    <xdr:pic>
      <xdr:nvPicPr>
        <xdr:cNvPr id="1212" name="Рисунок 188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95375" y="48482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202</xdr:row>
      <xdr:rowOff>9525</xdr:rowOff>
    </xdr:from>
    <xdr:to>
      <xdr:col>2</xdr:col>
      <xdr:colOff>638175</xdr:colOff>
      <xdr:row>204</xdr:row>
      <xdr:rowOff>571500</xdr:rowOff>
    </xdr:to>
    <xdr:pic>
      <xdr:nvPicPr>
        <xdr:cNvPr id="1213" name="Рисунок 189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095375" y="54292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203</xdr:row>
      <xdr:rowOff>9525</xdr:rowOff>
    </xdr:from>
    <xdr:to>
      <xdr:col>2</xdr:col>
      <xdr:colOff>638175</xdr:colOff>
      <xdr:row>204</xdr:row>
      <xdr:rowOff>571500</xdr:rowOff>
    </xdr:to>
    <xdr:pic>
      <xdr:nvPicPr>
        <xdr:cNvPr id="1214" name="Рисунок 190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95375" y="54292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204</xdr:row>
      <xdr:rowOff>9525</xdr:rowOff>
    </xdr:from>
    <xdr:to>
      <xdr:col>2</xdr:col>
      <xdr:colOff>638175</xdr:colOff>
      <xdr:row>204</xdr:row>
      <xdr:rowOff>581025</xdr:rowOff>
    </xdr:to>
    <xdr:pic>
      <xdr:nvPicPr>
        <xdr:cNvPr id="1215" name="Рисунок 191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95375" y="54387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205</xdr:row>
      <xdr:rowOff>9525</xdr:rowOff>
    </xdr:from>
    <xdr:to>
      <xdr:col>2</xdr:col>
      <xdr:colOff>638175</xdr:colOff>
      <xdr:row>211</xdr:row>
      <xdr:rowOff>571500</xdr:rowOff>
    </xdr:to>
    <xdr:pic>
      <xdr:nvPicPr>
        <xdr:cNvPr id="1216" name="Рисунок 192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095375" y="6019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206</xdr:row>
      <xdr:rowOff>9525</xdr:rowOff>
    </xdr:from>
    <xdr:to>
      <xdr:col>2</xdr:col>
      <xdr:colOff>638175</xdr:colOff>
      <xdr:row>211</xdr:row>
      <xdr:rowOff>571500</xdr:rowOff>
    </xdr:to>
    <xdr:pic>
      <xdr:nvPicPr>
        <xdr:cNvPr id="1217" name="Рисунок 193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95375" y="6019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207</xdr:row>
      <xdr:rowOff>9525</xdr:rowOff>
    </xdr:from>
    <xdr:to>
      <xdr:col>2</xdr:col>
      <xdr:colOff>638175</xdr:colOff>
      <xdr:row>211</xdr:row>
      <xdr:rowOff>571500</xdr:rowOff>
    </xdr:to>
    <xdr:pic>
      <xdr:nvPicPr>
        <xdr:cNvPr id="1218" name="Рисунок 194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95375" y="6019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208</xdr:row>
      <xdr:rowOff>9525</xdr:rowOff>
    </xdr:from>
    <xdr:to>
      <xdr:col>2</xdr:col>
      <xdr:colOff>638175</xdr:colOff>
      <xdr:row>211</xdr:row>
      <xdr:rowOff>571500</xdr:rowOff>
    </xdr:to>
    <xdr:pic>
      <xdr:nvPicPr>
        <xdr:cNvPr id="1219" name="Рисунок 195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95375" y="6019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209</xdr:row>
      <xdr:rowOff>9525</xdr:rowOff>
    </xdr:from>
    <xdr:to>
      <xdr:col>2</xdr:col>
      <xdr:colOff>638175</xdr:colOff>
      <xdr:row>211</xdr:row>
      <xdr:rowOff>571500</xdr:rowOff>
    </xdr:to>
    <xdr:pic>
      <xdr:nvPicPr>
        <xdr:cNvPr id="1220" name="Рисунок 196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95375" y="6019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210</xdr:row>
      <xdr:rowOff>9525</xdr:rowOff>
    </xdr:from>
    <xdr:to>
      <xdr:col>2</xdr:col>
      <xdr:colOff>638175</xdr:colOff>
      <xdr:row>211</xdr:row>
      <xdr:rowOff>571500</xdr:rowOff>
    </xdr:to>
    <xdr:pic>
      <xdr:nvPicPr>
        <xdr:cNvPr id="1221" name="Рисунок 197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95375" y="6019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211</xdr:row>
      <xdr:rowOff>9525</xdr:rowOff>
    </xdr:from>
    <xdr:to>
      <xdr:col>2</xdr:col>
      <xdr:colOff>638175</xdr:colOff>
      <xdr:row>211</xdr:row>
      <xdr:rowOff>581025</xdr:rowOff>
    </xdr:to>
    <xdr:pic>
      <xdr:nvPicPr>
        <xdr:cNvPr id="1222" name="Рисунок 198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95375" y="60293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212</xdr:row>
      <xdr:rowOff>9525</xdr:rowOff>
    </xdr:from>
    <xdr:to>
      <xdr:col>2</xdr:col>
      <xdr:colOff>638175</xdr:colOff>
      <xdr:row>213</xdr:row>
      <xdr:rowOff>571500</xdr:rowOff>
    </xdr:to>
    <xdr:pic>
      <xdr:nvPicPr>
        <xdr:cNvPr id="1223" name="Рисунок 199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95375" y="6610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213</xdr:row>
      <xdr:rowOff>9525</xdr:rowOff>
    </xdr:from>
    <xdr:to>
      <xdr:col>2</xdr:col>
      <xdr:colOff>638175</xdr:colOff>
      <xdr:row>213</xdr:row>
      <xdr:rowOff>581025</xdr:rowOff>
    </xdr:to>
    <xdr:pic>
      <xdr:nvPicPr>
        <xdr:cNvPr id="1224" name="Рисунок 200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95375" y="66198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214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25" name="Рисунок 201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215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26" name="Рисунок 202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216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27" name="Рисунок 203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217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28" name="Рисунок 204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218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29" name="Рисунок 205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219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0" name="Рисунок 206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220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1" name="Рисунок 207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221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2" name="Рисунок 208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222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3" name="Рисунок 209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223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4" name="Рисунок 210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224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5" name="Рисунок 211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225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6" name="Рисунок 212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226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7" name="Рисунок 213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227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8" name="Рисунок 214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228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39" name="Рисунок 215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229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40" name="Рисунок 216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230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41" name="Рисунок 217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231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42" name="Рисунок 218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232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43" name="Рисунок 219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233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44" name="Рисунок 220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234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45" name="Рисунок 221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235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46" name="Рисунок 222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236</xdr:row>
      <xdr:rowOff>9525</xdr:rowOff>
    </xdr:from>
    <xdr:to>
      <xdr:col>2</xdr:col>
      <xdr:colOff>638175</xdr:colOff>
      <xdr:row>237</xdr:row>
      <xdr:rowOff>571500</xdr:rowOff>
    </xdr:to>
    <xdr:pic>
      <xdr:nvPicPr>
        <xdr:cNvPr id="1247" name="Рисунок 223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095375" y="7200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237</xdr:row>
      <xdr:rowOff>9525</xdr:rowOff>
    </xdr:from>
    <xdr:to>
      <xdr:col>2</xdr:col>
      <xdr:colOff>638175</xdr:colOff>
      <xdr:row>237</xdr:row>
      <xdr:rowOff>581025</xdr:rowOff>
    </xdr:to>
    <xdr:pic>
      <xdr:nvPicPr>
        <xdr:cNvPr id="1248" name="Рисунок 224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95375" y="72104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238</xdr:row>
      <xdr:rowOff>9525</xdr:rowOff>
    </xdr:from>
    <xdr:to>
      <xdr:col>2</xdr:col>
      <xdr:colOff>638175</xdr:colOff>
      <xdr:row>247</xdr:row>
      <xdr:rowOff>571500</xdr:rowOff>
    </xdr:to>
    <xdr:pic>
      <xdr:nvPicPr>
        <xdr:cNvPr id="1249" name="Рисунок 225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095375" y="7791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239</xdr:row>
      <xdr:rowOff>9525</xdr:rowOff>
    </xdr:from>
    <xdr:to>
      <xdr:col>2</xdr:col>
      <xdr:colOff>638175</xdr:colOff>
      <xdr:row>247</xdr:row>
      <xdr:rowOff>571500</xdr:rowOff>
    </xdr:to>
    <xdr:pic>
      <xdr:nvPicPr>
        <xdr:cNvPr id="1250" name="Рисунок 226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95375" y="7791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240</xdr:row>
      <xdr:rowOff>9525</xdr:rowOff>
    </xdr:from>
    <xdr:to>
      <xdr:col>2</xdr:col>
      <xdr:colOff>638175</xdr:colOff>
      <xdr:row>247</xdr:row>
      <xdr:rowOff>571500</xdr:rowOff>
    </xdr:to>
    <xdr:pic>
      <xdr:nvPicPr>
        <xdr:cNvPr id="1251" name="Рисунок 227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095375" y="7791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241</xdr:row>
      <xdr:rowOff>9525</xdr:rowOff>
    </xdr:from>
    <xdr:to>
      <xdr:col>2</xdr:col>
      <xdr:colOff>638175</xdr:colOff>
      <xdr:row>247</xdr:row>
      <xdr:rowOff>571500</xdr:rowOff>
    </xdr:to>
    <xdr:pic>
      <xdr:nvPicPr>
        <xdr:cNvPr id="1252" name="Рисунок 228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95375" y="7791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242</xdr:row>
      <xdr:rowOff>9525</xdr:rowOff>
    </xdr:from>
    <xdr:to>
      <xdr:col>2</xdr:col>
      <xdr:colOff>638175</xdr:colOff>
      <xdr:row>247</xdr:row>
      <xdr:rowOff>571500</xdr:rowOff>
    </xdr:to>
    <xdr:pic>
      <xdr:nvPicPr>
        <xdr:cNvPr id="1253" name="Рисунок 229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095375" y="7791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243</xdr:row>
      <xdr:rowOff>9525</xdr:rowOff>
    </xdr:from>
    <xdr:to>
      <xdr:col>2</xdr:col>
      <xdr:colOff>638175</xdr:colOff>
      <xdr:row>247</xdr:row>
      <xdr:rowOff>571500</xdr:rowOff>
    </xdr:to>
    <xdr:pic>
      <xdr:nvPicPr>
        <xdr:cNvPr id="1254" name="Рисунок 230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95375" y="7791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244</xdr:row>
      <xdr:rowOff>9525</xdr:rowOff>
    </xdr:from>
    <xdr:to>
      <xdr:col>2</xdr:col>
      <xdr:colOff>638175</xdr:colOff>
      <xdr:row>247</xdr:row>
      <xdr:rowOff>571500</xdr:rowOff>
    </xdr:to>
    <xdr:pic>
      <xdr:nvPicPr>
        <xdr:cNvPr id="1255" name="Рисунок 231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095375" y="7791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245</xdr:row>
      <xdr:rowOff>9525</xdr:rowOff>
    </xdr:from>
    <xdr:to>
      <xdr:col>2</xdr:col>
      <xdr:colOff>638175</xdr:colOff>
      <xdr:row>247</xdr:row>
      <xdr:rowOff>571500</xdr:rowOff>
    </xdr:to>
    <xdr:pic>
      <xdr:nvPicPr>
        <xdr:cNvPr id="1256" name="Рисунок 232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95375" y="7791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246</xdr:row>
      <xdr:rowOff>9525</xdr:rowOff>
    </xdr:from>
    <xdr:to>
      <xdr:col>2</xdr:col>
      <xdr:colOff>638175</xdr:colOff>
      <xdr:row>247</xdr:row>
      <xdr:rowOff>571500</xdr:rowOff>
    </xdr:to>
    <xdr:pic>
      <xdr:nvPicPr>
        <xdr:cNvPr id="1257" name="Рисунок 233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95375" y="7791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247</xdr:row>
      <xdr:rowOff>9525</xdr:rowOff>
    </xdr:from>
    <xdr:to>
      <xdr:col>2</xdr:col>
      <xdr:colOff>638175</xdr:colOff>
      <xdr:row>247</xdr:row>
      <xdr:rowOff>581025</xdr:rowOff>
    </xdr:to>
    <xdr:pic>
      <xdr:nvPicPr>
        <xdr:cNvPr id="1258" name="Рисунок 234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95375" y="78009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248</xdr:row>
      <xdr:rowOff>9525</xdr:rowOff>
    </xdr:from>
    <xdr:to>
      <xdr:col>2</xdr:col>
      <xdr:colOff>638175</xdr:colOff>
      <xdr:row>252</xdr:row>
      <xdr:rowOff>571500</xdr:rowOff>
    </xdr:to>
    <xdr:pic>
      <xdr:nvPicPr>
        <xdr:cNvPr id="1259" name="Рисунок 235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95375" y="83820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249</xdr:row>
      <xdr:rowOff>9525</xdr:rowOff>
    </xdr:from>
    <xdr:to>
      <xdr:col>2</xdr:col>
      <xdr:colOff>638175</xdr:colOff>
      <xdr:row>252</xdr:row>
      <xdr:rowOff>571500</xdr:rowOff>
    </xdr:to>
    <xdr:pic>
      <xdr:nvPicPr>
        <xdr:cNvPr id="1260" name="Рисунок 236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95375" y="83820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250</xdr:row>
      <xdr:rowOff>9525</xdr:rowOff>
    </xdr:from>
    <xdr:to>
      <xdr:col>2</xdr:col>
      <xdr:colOff>638175</xdr:colOff>
      <xdr:row>252</xdr:row>
      <xdr:rowOff>571500</xdr:rowOff>
    </xdr:to>
    <xdr:pic>
      <xdr:nvPicPr>
        <xdr:cNvPr id="1261" name="Рисунок 237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095375" y="83820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251</xdr:row>
      <xdr:rowOff>9525</xdr:rowOff>
    </xdr:from>
    <xdr:to>
      <xdr:col>2</xdr:col>
      <xdr:colOff>638175</xdr:colOff>
      <xdr:row>252</xdr:row>
      <xdr:rowOff>571500</xdr:rowOff>
    </xdr:to>
    <xdr:pic>
      <xdr:nvPicPr>
        <xdr:cNvPr id="1262" name="Рисунок 238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95375" y="83820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252</xdr:row>
      <xdr:rowOff>9525</xdr:rowOff>
    </xdr:from>
    <xdr:to>
      <xdr:col>2</xdr:col>
      <xdr:colOff>638175</xdr:colOff>
      <xdr:row>252</xdr:row>
      <xdr:rowOff>581025</xdr:rowOff>
    </xdr:to>
    <xdr:pic>
      <xdr:nvPicPr>
        <xdr:cNvPr id="1263" name="Рисунок 239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95375" y="83915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253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64" name="Рисунок 240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254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65" name="Рисунок 241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255</xdr:row>
      <xdr:rowOff>47625</xdr:rowOff>
    </xdr:from>
    <xdr:to>
      <xdr:col>3</xdr:col>
      <xdr:colOff>0</xdr:colOff>
      <xdr:row>286</xdr:row>
      <xdr:rowOff>457200</xdr:rowOff>
    </xdr:to>
    <xdr:pic>
      <xdr:nvPicPr>
        <xdr:cNvPr id="1266" name="Рисунок 242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38225" y="897255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256</xdr:row>
      <xdr:rowOff>47625</xdr:rowOff>
    </xdr:from>
    <xdr:to>
      <xdr:col>3</xdr:col>
      <xdr:colOff>0</xdr:colOff>
      <xdr:row>286</xdr:row>
      <xdr:rowOff>457200</xdr:rowOff>
    </xdr:to>
    <xdr:pic>
      <xdr:nvPicPr>
        <xdr:cNvPr id="1267" name="Рисунок 243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38225" y="897255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257</xdr:row>
      <xdr:rowOff>47625</xdr:rowOff>
    </xdr:from>
    <xdr:to>
      <xdr:col>3</xdr:col>
      <xdr:colOff>0</xdr:colOff>
      <xdr:row>286</xdr:row>
      <xdr:rowOff>457200</xdr:rowOff>
    </xdr:to>
    <xdr:pic>
      <xdr:nvPicPr>
        <xdr:cNvPr id="1268" name="Рисунок 244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38225" y="897255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258</xdr:row>
      <xdr:rowOff>47625</xdr:rowOff>
    </xdr:from>
    <xdr:to>
      <xdr:col>3</xdr:col>
      <xdr:colOff>0</xdr:colOff>
      <xdr:row>286</xdr:row>
      <xdr:rowOff>457200</xdr:rowOff>
    </xdr:to>
    <xdr:pic>
      <xdr:nvPicPr>
        <xdr:cNvPr id="1269" name="Рисунок 245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038225" y="897255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259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0" name="Рисунок 246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260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1" name="Рисунок 247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261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2" name="Рисунок 248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262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3" name="Рисунок 249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263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4" name="Рисунок 250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264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5" name="Рисунок 251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265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6" name="Рисунок 252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266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7" name="Рисунок 253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267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8" name="Рисунок 254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268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79" name="Рисунок 255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269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0" name="Рисунок 256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270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1" name="Рисунок 257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271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2" name="Рисунок 258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272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3" name="Рисунок 259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273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4" name="Рисунок 260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274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5" name="Рисунок 261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275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6" name="Рисунок 262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276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7" name="Рисунок 263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277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8" name="Рисунок 264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278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89" name="Рисунок 265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279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90" name="Рисунок 266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280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91" name="Рисунок 267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281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92" name="Рисунок 268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282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93" name="Рисунок 269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283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94" name="Рисунок 270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284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95" name="Рисунок 271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285</xdr:row>
      <xdr:rowOff>9525</xdr:rowOff>
    </xdr:from>
    <xdr:to>
      <xdr:col>2</xdr:col>
      <xdr:colOff>638175</xdr:colOff>
      <xdr:row>286</xdr:row>
      <xdr:rowOff>571500</xdr:rowOff>
    </xdr:to>
    <xdr:pic>
      <xdr:nvPicPr>
        <xdr:cNvPr id="1296" name="Рисунок 272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95375" y="8972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286</xdr:row>
      <xdr:rowOff>9525</xdr:rowOff>
    </xdr:from>
    <xdr:to>
      <xdr:col>2</xdr:col>
      <xdr:colOff>638175</xdr:colOff>
      <xdr:row>286</xdr:row>
      <xdr:rowOff>581025</xdr:rowOff>
    </xdr:to>
    <xdr:pic>
      <xdr:nvPicPr>
        <xdr:cNvPr id="1297" name="Рисунок 273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095375" y="89820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287</xdr:row>
      <xdr:rowOff>9525</xdr:rowOff>
    </xdr:from>
    <xdr:to>
      <xdr:col>2</xdr:col>
      <xdr:colOff>638175</xdr:colOff>
      <xdr:row>287</xdr:row>
      <xdr:rowOff>581025</xdr:rowOff>
    </xdr:to>
    <xdr:pic>
      <xdr:nvPicPr>
        <xdr:cNvPr id="1298" name="Рисунок 274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95375" y="95726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288</xdr:row>
      <xdr:rowOff>9525</xdr:rowOff>
    </xdr:from>
    <xdr:to>
      <xdr:col>2</xdr:col>
      <xdr:colOff>638175</xdr:colOff>
      <xdr:row>295</xdr:row>
      <xdr:rowOff>571500</xdr:rowOff>
    </xdr:to>
    <xdr:pic>
      <xdr:nvPicPr>
        <xdr:cNvPr id="1299" name="Рисунок 275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095375" y="10153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289</xdr:row>
      <xdr:rowOff>9525</xdr:rowOff>
    </xdr:from>
    <xdr:to>
      <xdr:col>2</xdr:col>
      <xdr:colOff>638175</xdr:colOff>
      <xdr:row>295</xdr:row>
      <xdr:rowOff>571500</xdr:rowOff>
    </xdr:to>
    <xdr:pic>
      <xdr:nvPicPr>
        <xdr:cNvPr id="1300" name="Рисунок 276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95375" y="10153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290</xdr:row>
      <xdr:rowOff>9525</xdr:rowOff>
    </xdr:from>
    <xdr:to>
      <xdr:col>2</xdr:col>
      <xdr:colOff>638175</xdr:colOff>
      <xdr:row>295</xdr:row>
      <xdr:rowOff>571500</xdr:rowOff>
    </xdr:to>
    <xdr:pic>
      <xdr:nvPicPr>
        <xdr:cNvPr id="1301" name="Рисунок 277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095375" y="10153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291</xdr:row>
      <xdr:rowOff>9525</xdr:rowOff>
    </xdr:from>
    <xdr:to>
      <xdr:col>2</xdr:col>
      <xdr:colOff>638175</xdr:colOff>
      <xdr:row>295</xdr:row>
      <xdr:rowOff>571500</xdr:rowOff>
    </xdr:to>
    <xdr:pic>
      <xdr:nvPicPr>
        <xdr:cNvPr id="1302" name="Рисунок 278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85850" y="10153650"/>
          <a:ext cx="581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292</xdr:row>
      <xdr:rowOff>9525</xdr:rowOff>
    </xdr:from>
    <xdr:to>
      <xdr:col>2</xdr:col>
      <xdr:colOff>638175</xdr:colOff>
      <xdr:row>295</xdr:row>
      <xdr:rowOff>571500</xdr:rowOff>
    </xdr:to>
    <xdr:pic>
      <xdr:nvPicPr>
        <xdr:cNvPr id="1303" name="Рисунок 279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095375" y="10153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293</xdr:row>
      <xdr:rowOff>9525</xdr:rowOff>
    </xdr:from>
    <xdr:to>
      <xdr:col>2</xdr:col>
      <xdr:colOff>638175</xdr:colOff>
      <xdr:row>295</xdr:row>
      <xdr:rowOff>571500</xdr:rowOff>
    </xdr:to>
    <xdr:pic>
      <xdr:nvPicPr>
        <xdr:cNvPr id="1304" name="Рисунок 280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95375" y="10153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294</xdr:row>
      <xdr:rowOff>9525</xdr:rowOff>
    </xdr:from>
    <xdr:to>
      <xdr:col>2</xdr:col>
      <xdr:colOff>638175</xdr:colOff>
      <xdr:row>295</xdr:row>
      <xdr:rowOff>571500</xdr:rowOff>
    </xdr:to>
    <xdr:pic>
      <xdr:nvPicPr>
        <xdr:cNvPr id="1305" name="Рисунок 281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095375" y="10153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295</xdr:row>
      <xdr:rowOff>9525</xdr:rowOff>
    </xdr:from>
    <xdr:to>
      <xdr:col>2</xdr:col>
      <xdr:colOff>638175</xdr:colOff>
      <xdr:row>295</xdr:row>
      <xdr:rowOff>581025</xdr:rowOff>
    </xdr:to>
    <xdr:pic>
      <xdr:nvPicPr>
        <xdr:cNvPr id="1306" name="Рисунок 282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95375" y="101631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296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07" name="Рисунок 283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298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08" name="Рисунок 284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299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09" name="Рисунок 285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300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0" name="Рисунок 286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301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1" name="Рисунок 287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302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2" name="Рисунок 288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303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3" name="Рисунок 289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304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4" name="Рисунок 290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305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5" name="Рисунок 291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306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6" name="Рисунок 292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307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7" name="Рисунок 293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308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8" name="Рисунок 294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309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19" name="Рисунок 295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310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0" name="Рисунок 296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311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1" name="Рисунок 297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312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2" name="Рисунок 298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313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3" name="Рисунок 299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314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4" name="Рисунок 300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315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5" name="Рисунок 301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316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6" name="Рисунок 302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317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7" name="Рисунок 303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318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8" name="Рисунок 304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319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29" name="Рисунок 305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320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0" name="Рисунок 306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321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1" name="Рисунок 307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322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2" name="Рисунок 308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323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3" name="Рисунок 309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324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4" name="Рисунок 310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325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5" name="Рисунок 311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326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6" name="Рисунок 312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327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7" name="Рисунок 313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328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8" name="Рисунок 314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329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39" name="Рисунок 315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330</xdr:row>
      <xdr:rowOff>9525</xdr:rowOff>
    </xdr:from>
    <xdr:to>
      <xdr:col>2</xdr:col>
      <xdr:colOff>638175</xdr:colOff>
      <xdr:row>331</xdr:row>
      <xdr:rowOff>571500</xdr:rowOff>
    </xdr:to>
    <xdr:pic>
      <xdr:nvPicPr>
        <xdr:cNvPr id="1340" name="Рисунок 316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95375" y="10744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331</xdr:row>
      <xdr:rowOff>9525</xdr:rowOff>
    </xdr:from>
    <xdr:to>
      <xdr:col>2</xdr:col>
      <xdr:colOff>638175</xdr:colOff>
      <xdr:row>331</xdr:row>
      <xdr:rowOff>581025</xdr:rowOff>
    </xdr:to>
    <xdr:pic>
      <xdr:nvPicPr>
        <xdr:cNvPr id="1341" name="Рисунок 317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095375" y="107537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332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42" name="Рисунок 318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333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43" name="Рисунок 319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334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44" name="Рисунок 320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335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45" name="Рисунок 321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336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46" name="Рисунок 322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337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47" name="Рисунок 323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338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48" name="Рисунок 324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339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49" name="Рисунок 325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340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0" name="Рисунок 326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341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1" name="Рисунок 327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342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2" name="Рисунок 328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343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3" name="Рисунок 329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344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4" name="Рисунок 330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345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5" name="Рисунок 331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346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6" name="Рисунок 332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347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7" name="Рисунок 333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348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8" name="Рисунок 334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349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59" name="Рисунок 335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350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0" name="Рисунок 336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351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1" name="Рисунок 337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352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2" name="Рисунок 338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353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3" name="Рисунок 339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354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4" name="Рисунок 340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355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5" name="Рисунок 341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356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6" name="Рисунок 342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357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7" name="Рисунок 343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358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8" name="Рисунок 344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359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69" name="Рисунок 345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360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0" name="Рисунок 346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361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1" name="Рисунок 347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362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2" name="Рисунок 348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363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3" name="Рисунок 349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364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4" name="Рисунок 350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365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5" name="Рисунок 351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366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6" name="Рисунок 352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367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7" name="Рисунок 353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368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8" name="Рисунок 354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369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79" name="Рисунок 355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370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0" name="Рисунок 356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371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1" name="Рисунок 357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372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2" name="Рисунок 358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373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3" name="Рисунок 359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374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4" name="Рисунок 360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375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5" name="Рисунок 361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376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6" name="Рисунок 362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377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7" name="Рисунок 363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378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8" name="Рисунок 364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379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89" name="Рисунок 365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380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0" name="Рисунок 366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381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1" name="Рисунок 367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382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2" name="Рисунок 368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383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3" name="Рисунок 369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384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4" name="Рисунок 370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385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5" name="Рисунок 371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386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6" name="Рисунок 372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387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7" name="Рисунок 373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388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8" name="Рисунок 374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389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399" name="Рисунок 375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390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0" name="Рисунок 376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391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1" name="Рисунок 377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392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2" name="Рисунок 378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393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3" name="Рисунок 379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394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4" name="Рисунок 380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395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5" name="Рисунок 381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396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6" name="Рисунок 382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397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7" name="Рисунок 383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398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8" name="Рисунок 384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399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09" name="Рисунок 385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400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0" name="Рисунок 386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401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1" name="Рисунок 387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402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2" name="Рисунок 388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403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3" name="Рисунок 389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404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4" name="Рисунок 390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405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5" name="Рисунок 391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406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6" name="Рисунок 392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407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7" name="Рисунок 393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408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8" name="Рисунок 394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409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19" name="Рисунок 395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410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20" name="Рисунок 396"/>
        <xdr:cNvPicPr>
          <a:picLocks noChangeAspect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411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21" name="Рисунок 397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412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22" name="Рисунок 398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413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23" name="Рисунок 399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414</xdr:row>
      <xdr:rowOff>9525</xdr:rowOff>
    </xdr:from>
    <xdr:to>
      <xdr:col>2</xdr:col>
      <xdr:colOff>638175</xdr:colOff>
      <xdr:row>415</xdr:row>
      <xdr:rowOff>571500</xdr:rowOff>
    </xdr:to>
    <xdr:pic>
      <xdr:nvPicPr>
        <xdr:cNvPr id="1424" name="Рисунок 400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095375" y="11334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415</xdr:row>
      <xdr:rowOff>9525</xdr:rowOff>
    </xdr:from>
    <xdr:to>
      <xdr:col>2</xdr:col>
      <xdr:colOff>638175</xdr:colOff>
      <xdr:row>415</xdr:row>
      <xdr:rowOff>581025</xdr:rowOff>
    </xdr:to>
    <xdr:pic>
      <xdr:nvPicPr>
        <xdr:cNvPr id="1425" name="Рисунок 401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095375" y="113442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416</xdr:row>
      <xdr:rowOff>9525</xdr:rowOff>
    </xdr:from>
    <xdr:to>
      <xdr:col>2</xdr:col>
      <xdr:colOff>638175</xdr:colOff>
      <xdr:row>416</xdr:row>
      <xdr:rowOff>581025</xdr:rowOff>
    </xdr:to>
    <xdr:pic>
      <xdr:nvPicPr>
        <xdr:cNvPr id="1426" name="Рисунок 402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095375" y="119348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417</xdr:row>
      <xdr:rowOff>9525</xdr:rowOff>
    </xdr:from>
    <xdr:to>
      <xdr:col>2</xdr:col>
      <xdr:colOff>638175</xdr:colOff>
      <xdr:row>420</xdr:row>
      <xdr:rowOff>571500</xdr:rowOff>
    </xdr:to>
    <xdr:pic>
      <xdr:nvPicPr>
        <xdr:cNvPr id="1427" name="Рисунок 403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095375" y="125158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418</xdr:row>
      <xdr:rowOff>9525</xdr:rowOff>
    </xdr:from>
    <xdr:to>
      <xdr:col>2</xdr:col>
      <xdr:colOff>638175</xdr:colOff>
      <xdr:row>420</xdr:row>
      <xdr:rowOff>571500</xdr:rowOff>
    </xdr:to>
    <xdr:pic>
      <xdr:nvPicPr>
        <xdr:cNvPr id="1428" name="Рисунок 404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095375" y="125158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419</xdr:row>
      <xdr:rowOff>9525</xdr:rowOff>
    </xdr:from>
    <xdr:to>
      <xdr:col>2</xdr:col>
      <xdr:colOff>638175</xdr:colOff>
      <xdr:row>420</xdr:row>
      <xdr:rowOff>571500</xdr:rowOff>
    </xdr:to>
    <xdr:pic>
      <xdr:nvPicPr>
        <xdr:cNvPr id="1429" name="Рисунок 405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95375" y="125158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420</xdr:row>
      <xdr:rowOff>9525</xdr:rowOff>
    </xdr:from>
    <xdr:to>
      <xdr:col>2</xdr:col>
      <xdr:colOff>638175</xdr:colOff>
      <xdr:row>420</xdr:row>
      <xdr:rowOff>581025</xdr:rowOff>
    </xdr:to>
    <xdr:pic>
      <xdr:nvPicPr>
        <xdr:cNvPr id="1430" name="Рисунок 406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095375" y="125253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421</xdr:row>
      <xdr:rowOff>9525</xdr:rowOff>
    </xdr:from>
    <xdr:to>
      <xdr:col>2</xdr:col>
      <xdr:colOff>638175</xdr:colOff>
      <xdr:row>426</xdr:row>
      <xdr:rowOff>571500</xdr:rowOff>
    </xdr:to>
    <xdr:pic>
      <xdr:nvPicPr>
        <xdr:cNvPr id="1431" name="Рисунок 407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095375" y="13106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422</xdr:row>
      <xdr:rowOff>9525</xdr:rowOff>
    </xdr:from>
    <xdr:to>
      <xdr:col>2</xdr:col>
      <xdr:colOff>638175</xdr:colOff>
      <xdr:row>426</xdr:row>
      <xdr:rowOff>571500</xdr:rowOff>
    </xdr:to>
    <xdr:pic>
      <xdr:nvPicPr>
        <xdr:cNvPr id="1432" name="Рисунок 408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095375" y="13106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423</xdr:row>
      <xdr:rowOff>9525</xdr:rowOff>
    </xdr:from>
    <xdr:to>
      <xdr:col>2</xdr:col>
      <xdr:colOff>638175</xdr:colOff>
      <xdr:row>426</xdr:row>
      <xdr:rowOff>571500</xdr:rowOff>
    </xdr:to>
    <xdr:pic>
      <xdr:nvPicPr>
        <xdr:cNvPr id="1433" name="Рисунок 409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095375" y="13106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424</xdr:row>
      <xdr:rowOff>9525</xdr:rowOff>
    </xdr:from>
    <xdr:to>
      <xdr:col>2</xdr:col>
      <xdr:colOff>638175</xdr:colOff>
      <xdr:row>426</xdr:row>
      <xdr:rowOff>571500</xdr:rowOff>
    </xdr:to>
    <xdr:pic>
      <xdr:nvPicPr>
        <xdr:cNvPr id="1434" name="Рисунок 410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095375" y="13106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425</xdr:row>
      <xdr:rowOff>9525</xdr:rowOff>
    </xdr:from>
    <xdr:to>
      <xdr:col>2</xdr:col>
      <xdr:colOff>638175</xdr:colOff>
      <xdr:row>426</xdr:row>
      <xdr:rowOff>571500</xdr:rowOff>
    </xdr:to>
    <xdr:pic>
      <xdr:nvPicPr>
        <xdr:cNvPr id="1435" name="Рисунок 411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095375" y="13106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426</xdr:row>
      <xdr:rowOff>9525</xdr:rowOff>
    </xdr:from>
    <xdr:to>
      <xdr:col>2</xdr:col>
      <xdr:colOff>638175</xdr:colOff>
      <xdr:row>426</xdr:row>
      <xdr:rowOff>581025</xdr:rowOff>
    </xdr:to>
    <xdr:pic>
      <xdr:nvPicPr>
        <xdr:cNvPr id="1436" name="Рисунок 412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095375" y="131159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427</xdr:row>
      <xdr:rowOff>9525</xdr:rowOff>
    </xdr:from>
    <xdr:to>
      <xdr:col>2</xdr:col>
      <xdr:colOff>638175</xdr:colOff>
      <xdr:row>427</xdr:row>
      <xdr:rowOff>581025</xdr:rowOff>
    </xdr:to>
    <xdr:pic>
      <xdr:nvPicPr>
        <xdr:cNvPr id="1437" name="Рисунок 413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095375" y="137064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428</xdr:row>
      <xdr:rowOff>9525</xdr:rowOff>
    </xdr:from>
    <xdr:to>
      <xdr:col>2</xdr:col>
      <xdr:colOff>638175</xdr:colOff>
      <xdr:row>428</xdr:row>
      <xdr:rowOff>581025</xdr:rowOff>
    </xdr:to>
    <xdr:pic>
      <xdr:nvPicPr>
        <xdr:cNvPr id="1438" name="Рисунок 414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095375" y="142970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429</xdr:row>
      <xdr:rowOff>9525</xdr:rowOff>
    </xdr:from>
    <xdr:to>
      <xdr:col>2</xdr:col>
      <xdr:colOff>638175</xdr:colOff>
      <xdr:row>432</xdr:row>
      <xdr:rowOff>571500</xdr:rowOff>
    </xdr:to>
    <xdr:pic>
      <xdr:nvPicPr>
        <xdr:cNvPr id="1439" name="Рисунок 415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095375" y="14878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430</xdr:row>
      <xdr:rowOff>9525</xdr:rowOff>
    </xdr:from>
    <xdr:to>
      <xdr:col>2</xdr:col>
      <xdr:colOff>638175</xdr:colOff>
      <xdr:row>432</xdr:row>
      <xdr:rowOff>571500</xdr:rowOff>
    </xdr:to>
    <xdr:pic>
      <xdr:nvPicPr>
        <xdr:cNvPr id="1440" name="Рисунок 416"/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095375" y="14878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431</xdr:row>
      <xdr:rowOff>9525</xdr:rowOff>
    </xdr:from>
    <xdr:to>
      <xdr:col>2</xdr:col>
      <xdr:colOff>638175</xdr:colOff>
      <xdr:row>432</xdr:row>
      <xdr:rowOff>571500</xdr:rowOff>
    </xdr:to>
    <xdr:pic>
      <xdr:nvPicPr>
        <xdr:cNvPr id="1441" name="Рисунок 417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095375" y="14878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432</xdr:row>
      <xdr:rowOff>9525</xdr:rowOff>
    </xdr:from>
    <xdr:to>
      <xdr:col>2</xdr:col>
      <xdr:colOff>638175</xdr:colOff>
      <xdr:row>432</xdr:row>
      <xdr:rowOff>581025</xdr:rowOff>
    </xdr:to>
    <xdr:pic>
      <xdr:nvPicPr>
        <xdr:cNvPr id="1442" name="Рисунок 418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095375" y="148875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433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43" name="Рисунок 419"/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434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44" name="Рисунок 420"/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435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45" name="Рисунок 421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436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46" name="Рисунок 422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437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47" name="Рисунок 423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438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48" name="Рисунок 424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439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49" name="Рисунок 425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440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50" name="Рисунок 426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441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51" name="Рисунок 427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442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52" name="Рисунок 428"/>
        <xdr:cNvPicPr>
          <a:picLocks noChangeAspect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443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53" name="Рисунок 429"/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444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54" name="Рисунок 430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445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55" name="Рисунок 431"/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446</xdr:row>
      <xdr:rowOff>9525</xdr:rowOff>
    </xdr:from>
    <xdr:to>
      <xdr:col>2</xdr:col>
      <xdr:colOff>638175</xdr:colOff>
      <xdr:row>447</xdr:row>
      <xdr:rowOff>571500</xdr:rowOff>
    </xdr:to>
    <xdr:pic>
      <xdr:nvPicPr>
        <xdr:cNvPr id="1456" name="Рисунок 432"/>
        <xdr:cNvPicPr>
          <a:picLocks noChangeAspect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095375" y="15468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447</xdr:row>
      <xdr:rowOff>9525</xdr:rowOff>
    </xdr:from>
    <xdr:to>
      <xdr:col>2</xdr:col>
      <xdr:colOff>638175</xdr:colOff>
      <xdr:row>447</xdr:row>
      <xdr:rowOff>581025</xdr:rowOff>
    </xdr:to>
    <xdr:pic>
      <xdr:nvPicPr>
        <xdr:cNvPr id="1457" name="Рисунок 433"/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095375" y="154781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449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58" name="Рисунок 434"/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450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59" name="Рисунок 435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451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60" name="Рисунок 436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452</xdr:row>
      <xdr:rowOff>9525</xdr:rowOff>
    </xdr:from>
    <xdr:to>
      <xdr:col>2</xdr:col>
      <xdr:colOff>647700</xdr:colOff>
      <xdr:row>510</xdr:row>
      <xdr:rowOff>571500</xdr:rowOff>
    </xdr:to>
    <xdr:pic>
      <xdr:nvPicPr>
        <xdr:cNvPr id="1461" name="Рисунок 437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95375" y="16059150"/>
          <a:ext cx="5810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453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62" name="Рисунок 438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454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63" name="Рисунок 439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455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64" name="Рисунок 440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456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65" name="Рисунок 441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457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66" name="Рисунок 442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458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67" name="Рисунок 443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459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68" name="Рисунок 444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460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69" name="Рисунок 445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461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0" name="Рисунок 446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462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1" name="Рисунок 447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463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2" name="Рисунок 448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464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3" name="Рисунок 449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465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4" name="Рисунок 450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466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5" name="Рисунок 451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467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6" name="Рисунок 452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468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7" name="Рисунок 453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469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8" name="Рисунок 454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470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79" name="Рисунок 455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471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80" name="Рисунок 456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472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81" name="Рисунок 457"/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473</xdr:row>
      <xdr:rowOff>9525</xdr:rowOff>
    </xdr:from>
    <xdr:to>
      <xdr:col>2</xdr:col>
      <xdr:colOff>571500</xdr:colOff>
      <xdr:row>510</xdr:row>
      <xdr:rowOff>571500</xdr:rowOff>
    </xdr:to>
    <xdr:pic>
      <xdr:nvPicPr>
        <xdr:cNvPr id="1482" name="Рисунок 458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152525" y="16059150"/>
          <a:ext cx="4476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474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83" name="Рисунок 459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475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84" name="Рисунок 460"/>
        <xdr:cNvPicPr>
          <a:picLocks noChangeAspect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476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85" name="Рисунок 461"/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477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86" name="Рисунок 462"/>
        <xdr:cNvPicPr>
          <a:picLocks noChangeAspect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478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87" name="Рисунок 463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479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88" name="Рисунок 464"/>
        <xdr:cNvPicPr>
          <a:picLocks noChangeAspect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480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89" name="Рисунок 465"/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481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0" name="Рисунок 466"/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482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1" name="Рисунок 467"/>
        <xdr:cNvPicPr>
          <a:picLocks noChangeAspect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483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2" name="Рисунок 468"/>
        <xdr:cNvPicPr>
          <a:picLocks noChangeAspect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484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3" name="Рисунок 469"/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485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4" name="Рисунок 470"/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486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5" name="Рисунок 471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487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6" name="Рисунок 472"/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488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7" name="Рисунок 473"/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489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8" name="Рисунок 474"/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490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499" name="Рисунок 475"/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491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0" name="Рисунок 476"/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492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1" name="Рисунок 477"/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493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2" name="Рисунок 478"/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494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3" name="Рисунок 479"/>
        <xdr:cNvPicPr>
          <a:picLocks noChangeAspect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495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4" name="Рисунок 480"/>
        <xdr:cNvPicPr>
          <a:picLocks noChangeAspect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496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5" name="Рисунок 481"/>
        <xdr:cNvPicPr>
          <a:picLocks noChangeAspect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497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6" name="Рисунок 482"/>
        <xdr:cNvPicPr>
          <a:picLocks noChangeAspect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498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7" name="Рисунок 483"/>
        <xdr:cNvPicPr>
          <a:picLocks noChangeAspect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499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8" name="Рисунок 484"/>
        <xdr:cNvPicPr>
          <a:picLocks noChangeAspect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500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09" name="Рисунок 485"/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501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10" name="Рисунок 486"/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502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11" name="Рисунок 487"/>
        <xdr:cNvPicPr>
          <a:picLocks noChangeAspect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503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12" name="Рисунок 488"/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504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13" name="Рисунок 489"/>
        <xdr:cNvPicPr>
          <a:picLocks noChangeAspect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505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14" name="Рисунок 490"/>
        <xdr:cNvPicPr>
          <a:picLocks noChangeAspect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506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15" name="Рисунок 491"/>
        <xdr:cNvPicPr>
          <a:picLocks noChangeAspect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507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16" name="Рисунок 492"/>
        <xdr:cNvPicPr>
          <a:picLocks noChangeAspect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508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17" name="Рисунок 493"/>
        <xdr:cNvPicPr>
          <a:picLocks noChangeAspect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509</xdr:row>
      <xdr:rowOff>9525</xdr:rowOff>
    </xdr:from>
    <xdr:to>
      <xdr:col>2</xdr:col>
      <xdr:colOff>638175</xdr:colOff>
      <xdr:row>510</xdr:row>
      <xdr:rowOff>571500</xdr:rowOff>
    </xdr:to>
    <xdr:pic>
      <xdr:nvPicPr>
        <xdr:cNvPr id="1518" name="Рисунок 494"/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1095375" y="16059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510</xdr:row>
      <xdr:rowOff>9525</xdr:rowOff>
    </xdr:from>
    <xdr:to>
      <xdr:col>2</xdr:col>
      <xdr:colOff>619125</xdr:colOff>
      <xdr:row>510</xdr:row>
      <xdr:rowOff>581025</xdr:rowOff>
    </xdr:to>
    <xdr:pic>
      <xdr:nvPicPr>
        <xdr:cNvPr id="1519" name="Рисунок 495"/>
        <xdr:cNvPicPr>
          <a:picLocks noChangeAspect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114425" y="16068675"/>
          <a:ext cx="5334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511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0" name="Рисунок 496"/>
        <xdr:cNvPicPr>
          <a:picLocks noChangeAspect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513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1" name="Рисунок 497"/>
        <xdr:cNvPicPr>
          <a:picLocks noChangeAspect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514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2" name="Рисунок 498"/>
        <xdr:cNvPicPr>
          <a:picLocks noChangeAspect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515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3" name="Рисунок 499"/>
        <xdr:cNvPicPr>
          <a:picLocks noChangeAspect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516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4" name="Рисунок 500"/>
        <xdr:cNvPicPr>
          <a:picLocks noChangeAspect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517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5" name="Рисунок 501"/>
        <xdr:cNvPicPr>
          <a:picLocks noChangeAspect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518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6" name="Рисунок 502"/>
        <xdr:cNvPicPr>
          <a:picLocks noChangeAspect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519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7" name="Рисунок 503"/>
        <xdr:cNvPicPr>
          <a:picLocks noChangeAspect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520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8" name="Рисунок 504"/>
        <xdr:cNvPicPr>
          <a:picLocks noChangeAspect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521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29" name="Рисунок 505"/>
        <xdr:cNvPicPr>
          <a:picLocks noChangeAspect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522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30" name="Рисунок 506"/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523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31" name="Рисунок 507"/>
        <xdr:cNvPicPr>
          <a:picLocks noChangeAspect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524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32" name="Рисунок 508"/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525</xdr:row>
      <xdr:rowOff>9525</xdr:rowOff>
    </xdr:from>
    <xdr:to>
      <xdr:col>2</xdr:col>
      <xdr:colOff>638175</xdr:colOff>
      <xdr:row>526</xdr:row>
      <xdr:rowOff>571500</xdr:rowOff>
    </xdr:to>
    <xdr:pic>
      <xdr:nvPicPr>
        <xdr:cNvPr id="1533" name="Рисунок 509"/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095375" y="16649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526</xdr:row>
      <xdr:rowOff>9525</xdr:rowOff>
    </xdr:from>
    <xdr:to>
      <xdr:col>2</xdr:col>
      <xdr:colOff>638175</xdr:colOff>
      <xdr:row>526</xdr:row>
      <xdr:rowOff>581025</xdr:rowOff>
    </xdr:to>
    <xdr:pic>
      <xdr:nvPicPr>
        <xdr:cNvPr id="1534" name="Рисунок 510"/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095375" y="166592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527</xdr:row>
      <xdr:rowOff>9525</xdr:rowOff>
    </xdr:from>
    <xdr:to>
      <xdr:col>2</xdr:col>
      <xdr:colOff>638175</xdr:colOff>
      <xdr:row>528</xdr:row>
      <xdr:rowOff>571500</xdr:rowOff>
    </xdr:to>
    <xdr:pic>
      <xdr:nvPicPr>
        <xdr:cNvPr id="1535" name="Рисунок 511"/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1095375" y="172402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528</xdr:row>
      <xdr:rowOff>9525</xdr:rowOff>
    </xdr:from>
    <xdr:to>
      <xdr:col>2</xdr:col>
      <xdr:colOff>638175</xdr:colOff>
      <xdr:row>528</xdr:row>
      <xdr:rowOff>581025</xdr:rowOff>
    </xdr:to>
    <xdr:pic>
      <xdr:nvPicPr>
        <xdr:cNvPr id="1536" name="Рисунок 512"/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1095375" y="172497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529</xdr:row>
      <xdr:rowOff>9525</xdr:rowOff>
    </xdr:from>
    <xdr:to>
      <xdr:col>2</xdr:col>
      <xdr:colOff>638175</xdr:colOff>
      <xdr:row>531</xdr:row>
      <xdr:rowOff>571500</xdr:rowOff>
    </xdr:to>
    <xdr:pic>
      <xdr:nvPicPr>
        <xdr:cNvPr id="1537" name="Рисунок 513"/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095375" y="17830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530</xdr:row>
      <xdr:rowOff>9525</xdr:rowOff>
    </xdr:from>
    <xdr:to>
      <xdr:col>2</xdr:col>
      <xdr:colOff>638175</xdr:colOff>
      <xdr:row>531</xdr:row>
      <xdr:rowOff>571500</xdr:rowOff>
    </xdr:to>
    <xdr:pic>
      <xdr:nvPicPr>
        <xdr:cNvPr id="1538" name="Рисунок 514"/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095375" y="17830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531</xdr:row>
      <xdr:rowOff>9525</xdr:rowOff>
    </xdr:from>
    <xdr:to>
      <xdr:col>2</xdr:col>
      <xdr:colOff>638175</xdr:colOff>
      <xdr:row>531</xdr:row>
      <xdr:rowOff>581025</xdr:rowOff>
    </xdr:to>
    <xdr:pic>
      <xdr:nvPicPr>
        <xdr:cNvPr id="1539" name="Рисунок 515"/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095375" y="178403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532</xdr:row>
      <xdr:rowOff>9525</xdr:rowOff>
    </xdr:from>
    <xdr:to>
      <xdr:col>2</xdr:col>
      <xdr:colOff>638175</xdr:colOff>
      <xdr:row>532</xdr:row>
      <xdr:rowOff>581025</xdr:rowOff>
    </xdr:to>
    <xdr:pic>
      <xdr:nvPicPr>
        <xdr:cNvPr id="1540" name="Рисунок 516"/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095375" y="184308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533</xdr:row>
      <xdr:rowOff>9525</xdr:rowOff>
    </xdr:from>
    <xdr:to>
      <xdr:col>2</xdr:col>
      <xdr:colOff>542925</xdr:colOff>
      <xdr:row>536</xdr:row>
      <xdr:rowOff>571500</xdr:rowOff>
    </xdr:to>
    <xdr:pic>
      <xdr:nvPicPr>
        <xdr:cNvPr id="1541" name="Рисунок 517"/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190625" y="19011900"/>
          <a:ext cx="381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534</xdr:row>
      <xdr:rowOff>9525</xdr:rowOff>
    </xdr:from>
    <xdr:to>
      <xdr:col>2</xdr:col>
      <xdr:colOff>638175</xdr:colOff>
      <xdr:row>536</xdr:row>
      <xdr:rowOff>571500</xdr:rowOff>
    </xdr:to>
    <xdr:pic>
      <xdr:nvPicPr>
        <xdr:cNvPr id="1542" name="Рисунок 518"/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095375" y="19011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535</xdr:row>
      <xdr:rowOff>9525</xdr:rowOff>
    </xdr:from>
    <xdr:to>
      <xdr:col>2</xdr:col>
      <xdr:colOff>638175</xdr:colOff>
      <xdr:row>536</xdr:row>
      <xdr:rowOff>571500</xdr:rowOff>
    </xdr:to>
    <xdr:pic>
      <xdr:nvPicPr>
        <xdr:cNvPr id="1543" name="Рисунок 519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095375" y="19011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536</xdr:row>
      <xdr:rowOff>9525</xdr:rowOff>
    </xdr:from>
    <xdr:to>
      <xdr:col>2</xdr:col>
      <xdr:colOff>638175</xdr:colOff>
      <xdr:row>536</xdr:row>
      <xdr:rowOff>581025</xdr:rowOff>
    </xdr:to>
    <xdr:pic>
      <xdr:nvPicPr>
        <xdr:cNvPr id="1544" name="Рисунок 520"/>
        <xdr:cNvPicPr>
          <a:picLocks noChangeAspect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1095375" y="190214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537</xdr:row>
      <xdr:rowOff>9525</xdr:rowOff>
    </xdr:from>
    <xdr:to>
      <xdr:col>2</xdr:col>
      <xdr:colOff>638175</xdr:colOff>
      <xdr:row>539</xdr:row>
      <xdr:rowOff>571500</xdr:rowOff>
    </xdr:to>
    <xdr:pic>
      <xdr:nvPicPr>
        <xdr:cNvPr id="1545" name="Рисунок 521"/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095375" y="19602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538</xdr:row>
      <xdr:rowOff>9525</xdr:rowOff>
    </xdr:from>
    <xdr:to>
      <xdr:col>2</xdr:col>
      <xdr:colOff>638175</xdr:colOff>
      <xdr:row>539</xdr:row>
      <xdr:rowOff>571500</xdr:rowOff>
    </xdr:to>
    <xdr:pic>
      <xdr:nvPicPr>
        <xdr:cNvPr id="1546" name="Рисунок 522"/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095375" y="19602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539</xdr:row>
      <xdr:rowOff>9525</xdr:rowOff>
    </xdr:from>
    <xdr:to>
      <xdr:col>2</xdr:col>
      <xdr:colOff>638175</xdr:colOff>
      <xdr:row>539</xdr:row>
      <xdr:rowOff>581025</xdr:rowOff>
    </xdr:to>
    <xdr:pic>
      <xdr:nvPicPr>
        <xdr:cNvPr id="1547" name="Рисунок 523"/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095375" y="196119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540</xdr:row>
      <xdr:rowOff>9525</xdr:rowOff>
    </xdr:from>
    <xdr:to>
      <xdr:col>2</xdr:col>
      <xdr:colOff>638175</xdr:colOff>
      <xdr:row>540</xdr:row>
      <xdr:rowOff>581025</xdr:rowOff>
    </xdr:to>
    <xdr:pic>
      <xdr:nvPicPr>
        <xdr:cNvPr id="1548" name="Рисунок 524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095375" y="202025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541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49" name="Рисунок 525"/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542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0" name="Рисунок 526"/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543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1" name="Рисунок 527"/>
        <xdr:cNvPicPr>
          <a:picLocks noChangeAspect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544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2" name="Рисунок 528"/>
        <xdr:cNvPicPr>
          <a:picLocks noChangeAspect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545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3" name="Рисунок 529"/>
        <xdr:cNvPicPr>
          <a:picLocks noChangeAspect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546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4" name="Рисунок 530"/>
        <xdr:cNvPicPr>
          <a:picLocks noChangeAspect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547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5" name="Рисунок 531"/>
        <xdr:cNvPicPr>
          <a:picLocks noChangeAspect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548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6" name="Рисунок 532"/>
        <xdr:cNvPicPr>
          <a:picLocks noChangeAspect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549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7" name="Рисунок 533"/>
        <xdr:cNvPicPr>
          <a:picLocks noChangeAspect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550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8" name="Рисунок 534"/>
        <xdr:cNvPicPr>
          <a:picLocks noChangeAspect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551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59" name="Рисунок 535"/>
        <xdr:cNvPicPr>
          <a:picLocks noChangeAspect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552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60" name="Рисунок 536"/>
        <xdr:cNvPicPr>
          <a:picLocks noChangeAspect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553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61" name="Рисунок 537"/>
        <xdr:cNvPicPr>
          <a:picLocks noChangeAspect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554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62" name="Рисунок 538"/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555</xdr:row>
      <xdr:rowOff>9525</xdr:rowOff>
    </xdr:from>
    <xdr:to>
      <xdr:col>2</xdr:col>
      <xdr:colOff>638175</xdr:colOff>
      <xdr:row>556</xdr:row>
      <xdr:rowOff>571500</xdr:rowOff>
    </xdr:to>
    <xdr:pic>
      <xdr:nvPicPr>
        <xdr:cNvPr id="1563" name="Рисунок 539"/>
        <xdr:cNvPicPr>
          <a:picLocks noChangeAspect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095375" y="20783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556</xdr:row>
      <xdr:rowOff>9525</xdr:rowOff>
    </xdr:from>
    <xdr:to>
      <xdr:col>2</xdr:col>
      <xdr:colOff>638175</xdr:colOff>
      <xdr:row>556</xdr:row>
      <xdr:rowOff>581025</xdr:rowOff>
    </xdr:to>
    <xdr:pic>
      <xdr:nvPicPr>
        <xdr:cNvPr id="1564" name="Рисунок 540"/>
        <xdr:cNvPicPr>
          <a:picLocks noChangeAspect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095375" y="207930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557</xdr:row>
      <xdr:rowOff>9525</xdr:rowOff>
    </xdr:from>
    <xdr:to>
      <xdr:col>2</xdr:col>
      <xdr:colOff>638175</xdr:colOff>
      <xdr:row>557</xdr:row>
      <xdr:rowOff>581025</xdr:rowOff>
    </xdr:to>
    <xdr:pic>
      <xdr:nvPicPr>
        <xdr:cNvPr id="1565" name="Рисунок 541"/>
        <xdr:cNvPicPr>
          <a:picLocks noChangeAspect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095375" y="213836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558</xdr:row>
      <xdr:rowOff>9525</xdr:rowOff>
    </xdr:from>
    <xdr:to>
      <xdr:col>2</xdr:col>
      <xdr:colOff>638175</xdr:colOff>
      <xdr:row>563</xdr:row>
      <xdr:rowOff>571500</xdr:rowOff>
    </xdr:to>
    <xdr:pic>
      <xdr:nvPicPr>
        <xdr:cNvPr id="1566" name="Рисунок 542"/>
        <xdr:cNvPicPr>
          <a:picLocks noChangeAspect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1095375" y="21964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559</xdr:row>
      <xdr:rowOff>9525</xdr:rowOff>
    </xdr:from>
    <xdr:to>
      <xdr:col>2</xdr:col>
      <xdr:colOff>638175</xdr:colOff>
      <xdr:row>563</xdr:row>
      <xdr:rowOff>571500</xdr:rowOff>
    </xdr:to>
    <xdr:pic>
      <xdr:nvPicPr>
        <xdr:cNvPr id="1567" name="Рисунок 543"/>
        <xdr:cNvPicPr>
          <a:picLocks noChangeAspect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095375" y="21964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560</xdr:row>
      <xdr:rowOff>9525</xdr:rowOff>
    </xdr:from>
    <xdr:to>
      <xdr:col>2</xdr:col>
      <xdr:colOff>638175</xdr:colOff>
      <xdr:row>563</xdr:row>
      <xdr:rowOff>571500</xdr:rowOff>
    </xdr:to>
    <xdr:pic>
      <xdr:nvPicPr>
        <xdr:cNvPr id="1568" name="Рисунок 544"/>
        <xdr:cNvPicPr>
          <a:picLocks noChangeAspect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1095375" y="21964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561</xdr:row>
      <xdr:rowOff>9525</xdr:rowOff>
    </xdr:from>
    <xdr:to>
      <xdr:col>2</xdr:col>
      <xdr:colOff>638175</xdr:colOff>
      <xdr:row>563</xdr:row>
      <xdr:rowOff>571500</xdr:rowOff>
    </xdr:to>
    <xdr:pic>
      <xdr:nvPicPr>
        <xdr:cNvPr id="1569" name="Рисунок 545"/>
        <xdr:cNvPicPr>
          <a:picLocks noChangeAspect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1095375" y="21964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562</xdr:row>
      <xdr:rowOff>9525</xdr:rowOff>
    </xdr:from>
    <xdr:to>
      <xdr:col>2</xdr:col>
      <xdr:colOff>638175</xdr:colOff>
      <xdr:row>563</xdr:row>
      <xdr:rowOff>571500</xdr:rowOff>
    </xdr:to>
    <xdr:pic>
      <xdr:nvPicPr>
        <xdr:cNvPr id="1570" name="Рисунок 546"/>
        <xdr:cNvPicPr>
          <a:picLocks noChangeAspect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095375" y="21964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563</xdr:row>
      <xdr:rowOff>9525</xdr:rowOff>
    </xdr:from>
    <xdr:to>
      <xdr:col>2</xdr:col>
      <xdr:colOff>638175</xdr:colOff>
      <xdr:row>563</xdr:row>
      <xdr:rowOff>581025</xdr:rowOff>
    </xdr:to>
    <xdr:pic>
      <xdr:nvPicPr>
        <xdr:cNvPr id="1571" name="Рисунок 547"/>
        <xdr:cNvPicPr>
          <a:picLocks noChangeAspect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095375" y="219741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564</xdr:row>
      <xdr:rowOff>9525</xdr:rowOff>
    </xdr:from>
    <xdr:to>
      <xdr:col>2</xdr:col>
      <xdr:colOff>638175</xdr:colOff>
      <xdr:row>564</xdr:row>
      <xdr:rowOff>581025</xdr:rowOff>
    </xdr:to>
    <xdr:pic>
      <xdr:nvPicPr>
        <xdr:cNvPr id="1572" name="Рисунок 548"/>
        <xdr:cNvPicPr>
          <a:picLocks noChangeAspect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1095375" y="225647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565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73" name="Рисунок 549"/>
        <xdr:cNvPicPr>
          <a:picLocks noChangeAspect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566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74" name="Рисунок 550"/>
        <xdr:cNvPicPr>
          <a:picLocks noChangeAspect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567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75" name="Рисунок 551"/>
        <xdr:cNvPicPr>
          <a:picLocks noChangeAspect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568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76" name="Рисунок 552"/>
        <xdr:cNvPicPr>
          <a:picLocks noChangeAspect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569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77" name="Рисунок 553"/>
        <xdr:cNvPicPr>
          <a:picLocks noChangeAspect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570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78" name="Рисунок 554"/>
        <xdr:cNvPicPr>
          <a:picLocks noChangeAspect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571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79" name="Рисунок 555"/>
        <xdr:cNvPicPr>
          <a:picLocks noChangeAspect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572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80" name="Рисунок 556"/>
        <xdr:cNvPicPr>
          <a:picLocks noChangeAspect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573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81" name="Рисунок 557"/>
        <xdr:cNvPicPr>
          <a:picLocks noChangeAspect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574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82" name="Рисунок 558"/>
        <xdr:cNvPicPr>
          <a:picLocks noChangeAspect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575</xdr:row>
      <xdr:rowOff>9525</xdr:rowOff>
    </xdr:from>
    <xdr:to>
      <xdr:col>2</xdr:col>
      <xdr:colOff>638175</xdr:colOff>
      <xdr:row>576</xdr:row>
      <xdr:rowOff>571500</xdr:rowOff>
    </xdr:to>
    <xdr:pic>
      <xdr:nvPicPr>
        <xdr:cNvPr id="1583" name="Рисунок 559"/>
        <xdr:cNvPicPr>
          <a:picLocks noChangeAspect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095375" y="23145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576</xdr:row>
      <xdr:rowOff>9525</xdr:rowOff>
    </xdr:from>
    <xdr:to>
      <xdr:col>2</xdr:col>
      <xdr:colOff>638175</xdr:colOff>
      <xdr:row>576</xdr:row>
      <xdr:rowOff>581025</xdr:rowOff>
    </xdr:to>
    <xdr:pic>
      <xdr:nvPicPr>
        <xdr:cNvPr id="1584" name="Рисунок 560"/>
        <xdr:cNvPicPr>
          <a:picLocks noChangeAspect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095375" y="231552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577</xdr:row>
      <xdr:rowOff>9525</xdr:rowOff>
    </xdr:from>
    <xdr:to>
      <xdr:col>2</xdr:col>
      <xdr:colOff>638175</xdr:colOff>
      <xdr:row>578</xdr:row>
      <xdr:rowOff>571500</xdr:rowOff>
    </xdr:to>
    <xdr:pic>
      <xdr:nvPicPr>
        <xdr:cNvPr id="1585" name="Рисунок 561"/>
        <xdr:cNvPicPr>
          <a:picLocks noChangeAspect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1095375" y="237363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578</xdr:row>
      <xdr:rowOff>9525</xdr:rowOff>
    </xdr:from>
    <xdr:to>
      <xdr:col>2</xdr:col>
      <xdr:colOff>638175</xdr:colOff>
      <xdr:row>578</xdr:row>
      <xdr:rowOff>581025</xdr:rowOff>
    </xdr:to>
    <xdr:pic>
      <xdr:nvPicPr>
        <xdr:cNvPr id="1586" name="Рисунок 562"/>
        <xdr:cNvPicPr>
          <a:picLocks noChangeAspect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095375" y="237458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579</xdr:row>
      <xdr:rowOff>9525</xdr:rowOff>
    </xdr:from>
    <xdr:to>
      <xdr:col>2</xdr:col>
      <xdr:colOff>638175</xdr:colOff>
      <xdr:row>581</xdr:row>
      <xdr:rowOff>571500</xdr:rowOff>
    </xdr:to>
    <xdr:pic>
      <xdr:nvPicPr>
        <xdr:cNvPr id="1587" name="Рисунок 563"/>
        <xdr:cNvPicPr>
          <a:picLocks noChangeAspect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095375" y="243268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580</xdr:row>
      <xdr:rowOff>9525</xdr:rowOff>
    </xdr:from>
    <xdr:to>
      <xdr:col>2</xdr:col>
      <xdr:colOff>638175</xdr:colOff>
      <xdr:row>581</xdr:row>
      <xdr:rowOff>571500</xdr:rowOff>
    </xdr:to>
    <xdr:pic>
      <xdr:nvPicPr>
        <xdr:cNvPr id="1588" name="Рисунок 564"/>
        <xdr:cNvPicPr>
          <a:picLocks noChangeAspect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1095375" y="243268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581</xdr:row>
      <xdr:rowOff>9525</xdr:rowOff>
    </xdr:from>
    <xdr:to>
      <xdr:col>2</xdr:col>
      <xdr:colOff>638175</xdr:colOff>
      <xdr:row>581</xdr:row>
      <xdr:rowOff>581025</xdr:rowOff>
    </xdr:to>
    <xdr:pic>
      <xdr:nvPicPr>
        <xdr:cNvPr id="1589" name="Рисунок 565"/>
        <xdr:cNvPicPr>
          <a:picLocks noChangeAspect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095375" y="243363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582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0" name="Рисунок 566"/>
        <xdr:cNvPicPr>
          <a:picLocks noChangeAspect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583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1" name="Рисунок 567"/>
        <xdr:cNvPicPr>
          <a:picLocks noChangeAspect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584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2" name="Рисунок 568"/>
        <xdr:cNvPicPr>
          <a:picLocks noChangeAspect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585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3" name="Рисунок 569"/>
        <xdr:cNvPicPr>
          <a:picLocks noChangeAspect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586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4" name="Рисунок 570"/>
        <xdr:cNvPicPr>
          <a:picLocks noChangeAspect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587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5" name="Рисунок 571"/>
        <xdr:cNvPicPr>
          <a:picLocks noChangeAspect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588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6" name="Рисунок 572"/>
        <xdr:cNvPicPr>
          <a:picLocks noChangeAspect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589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7" name="Рисунок 573"/>
        <xdr:cNvPicPr>
          <a:picLocks noChangeAspect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590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8" name="Рисунок 574"/>
        <xdr:cNvPicPr>
          <a:picLocks noChangeAspect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591</xdr:row>
      <xdr:rowOff>9525</xdr:rowOff>
    </xdr:from>
    <xdr:to>
      <xdr:col>2</xdr:col>
      <xdr:colOff>638175</xdr:colOff>
      <xdr:row>592</xdr:row>
      <xdr:rowOff>571500</xdr:rowOff>
    </xdr:to>
    <xdr:pic>
      <xdr:nvPicPr>
        <xdr:cNvPr id="1599" name="Рисунок 575"/>
        <xdr:cNvPicPr>
          <a:picLocks noChangeAspect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1095375" y="24917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592</xdr:row>
      <xdr:rowOff>9525</xdr:rowOff>
    </xdr:from>
    <xdr:to>
      <xdr:col>2</xdr:col>
      <xdr:colOff>638175</xdr:colOff>
      <xdr:row>592</xdr:row>
      <xdr:rowOff>581025</xdr:rowOff>
    </xdr:to>
    <xdr:pic>
      <xdr:nvPicPr>
        <xdr:cNvPr id="1600" name="Рисунок 576"/>
        <xdr:cNvPicPr>
          <a:picLocks noChangeAspect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095375" y="249269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593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01" name="Рисунок 577"/>
        <xdr:cNvPicPr>
          <a:picLocks noChangeAspect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594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02" name="Рисунок 578"/>
        <xdr:cNvPicPr>
          <a:picLocks noChangeAspect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595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03" name="Рисунок 579"/>
        <xdr:cNvPicPr>
          <a:picLocks noChangeAspect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596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04" name="Рисунок 580"/>
        <xdr:cNvPicPr>
          <a:picLocks noChangeAspect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597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05" name="Рисунок 581"/>
        <xdr:cNvPicPr>
          <a:picLocks noChangeAspect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598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06" name="Рисунок 582"/>
        <xdr:cNvPicPr>
          <a:picLocks noChangeAspect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599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07" name="Рисунок 583"/>
        <xdr:cNvPicPr>
          <a:picLocks noChangeAspect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600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08" name="Рисунок 584"/>
        <xdr:cNvPicPr>
          <a:picLocks noChangeAspect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601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09" name="Рисунок 585"/>
        <xdr:cNvPicPr>
          <a:picLocks noChangeAspect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602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10" name="Рисунок 586"/>
        <xdr:cNvPicPr>
          <a:picLocks noChangeAspect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603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11" name="Рисунок 587"/>
        <xdr:cNvPicPr>
          <a:picLocks noChangeAspect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604</xdr:row>
      <xdr:rowOff>9525</xdr:rowOff>
    </xdr:from>
    <xdr:to>
      <xdr:col>2</xdr:col>
      <xdr:colOff>638175</xdr:colOff>
      <xdr:row>605</xdr:row>
      <xdr:rowOff>571500</xdr:rowOff>
    </xdr:to>
    <xdr:pic>
      <xdr:nvPicPr>
        <xdr:cNvPr id="1612" name="Рисунок 588"/>
        <xdr:cNvPicPr>
          <a:picLocks noChangeAspect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1095375" y="25507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605</xdr:row>
      <xdr:rowOff>9525</xdr:rowOff>
    </xdr:from>
    <xdr:to>
      <xdr:col>2</xdr:col>
      <xdr:colOff>638175</xdr:colOff>
      <xdr:row>605</xdr:row>
      <xdr:rowOff>581025</xdr:rowOff>
    </xdr:to>
    <xdr:pic>
      <xdr:nvPicPr>
        <xdr:cNvPr id="1613" name="Рисунок 589"/>
        <xdr:cNvPicPr>
          <a:picLocks noChangeAspect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1095375" y="255174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606</xdr:row>
      <xdr:rowOff>9525</xdr:rowOff>
    </xdr:from>
    <xdr:to>
      <xdr:col>2</xdr:col>
      <xdr:colOff>638175</xdr:colOff>
      <xdr:row>606</xdr:row>
      <xdr:rowOff>581025</xdr:rowOff>
    </xdr:to>
    <xdr:pic>
      <xdr:nvPicPr>
        <xdr:cNvPr id="1614" name="Рисунок 590"/>
        <xdr:cNvPicPr>
          <a:picLocks noChangeAspect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1095375" y="261080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607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15" name="Рисунок 591"/>
        <xdr:cNvPicPr>
          <a:picLocks noChangeAspect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608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16" name="Рисунок 592"/>
        <xdr:cNvPicPr>
          <a:picLocks noChangeAspect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609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17" name="Рисунок 593"/>
        <xdr:cNvPicPr>
          <a:picLocks noChangeAspect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610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18" name="Рисунок 594"/>
        <xdr:cNvPicPr>
          <a:picLocks noChangeAspect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611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19" name="Рисунок 595"/>
        <xdr:cNvPicPr>
          <a:picLocks noChangeAspect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612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0" name="Рисунок 596"/>
        <xdr:cNvPicPr>
          <a:picLocks noChangeAspect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613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1" name="Рисунок 597"/>
        <xdr:cNvPicPr>
          <a:picLocks noChangeAspect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614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2" name="Рисунок 598"/>
        <xdr:cNvPicPr>
          <a:picLocks noChangeAspect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615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3" name="Рисунок 599"/>
        <xdr:cNvPicPr>
          <a:picLocks noChangeAspect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616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4" name="Рисунок 600"/>
        <xdr:cNvPicPr>
          <a:picLocks noChangeAspect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617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5" name="Рисунок 601"/>
        <xdr:cNvPicPr>
          <a:picLocks noChangeAspect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618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6" name="Рисунок 602"/>
        <xdr:cNvPicPr>
          <a:picLocks noChangeAspect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619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7" name="Рисунок 603"/>
        <xdr:cNvPicPr>
          <a:picLocks noChangeAspect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620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8" name="Рисунок 604"/>
        <xdr:cNvPicPr>
          <a:picLocks noChangeAspect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621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29" name="Рисунок 605"/>
        <xdr:cNvPicPr>
          <a:picLocks noChangeAspect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622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0" name="Рисунок 606"/>
        <xdr:cNvPicPr>
          <a:picLocks noChangeAspect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623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1" name="Рисунок 607"/>
        <xdr:cNvPicPr>
          <a:picLocks noChangeAspect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624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2" name="Рисунок 608"/>
        <xdr:cNvPicPr>
          <a:picLocks noChangeAspect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625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3" name="Рисунок 609"/>
        <xdr:cNvPicPr>
          <a:picLocks noChangeAspect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626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4" name="Рисунок 610"/>
        <xdr:cNvPicPr>
          <a:picLocks noChangeAspect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627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5" name="Рисунок 611"/>
        <xdr:cNvPicPr>
          <a:picLocks noChangeAspect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628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6" name="Рисунок 612"/>
        <xdr:cNvPicPr>
          <a:picLocks noChangeAspect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629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7" name="Рисунок 613"/>
        <xdr:cNvPicPr>
          <a:picLocks noChangeAspect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630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8" name="Рисунок 614"/>
        <xdr:cNvPicPr>
          <a:picLocks noChangeAspect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631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39" name="Рисунок 615"/>
        <xdr:cNvPicPr>
          <a:picLocks noChangeAspect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632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40" name="Рисунок 616"/>
        <xdr:cNvPicPr>
          <a:picLocks noChangeAspect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633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41" name="Рисунок 617"/>
        <xdr:cNvPicPr>
          <a:picLocks noChangeAspect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634</xdr:row>
      <xdr:rowOff>9525</xdr:rowOff>
    </xdr:from>
    <xdr:to>
      <xdr:col>2</xdr:col>
      <xdr:colOff>638175</xdr:colOff>
      <xdr:row>635</xdr:row>
      <xdr:rowOff>571500</xdr:rowOff>
    </xdr:to>
    <xdr:pic>
      <xdr:nvPicPr>
        <xdr:cNvPr id="1642" name="Рисунок 618"/>
        <xdr:cNvPicPr>
          <a:picLocks noChangeAspect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095375" y="26689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635</xdr:row>
      <xdr:rowOff>9525</xdr:rowOff>
    </xdr:from>
    <xdr:to>
      <xdr:col>2</xdr:col>
      <xdr:colOff>638175</xdr:colOff>
      <xdr:row>635</xdr:row>
      <xdr:rowOff>581025</xdr:rowOff>
    </xdr:to>
    <xdr:pic>
      <xdr:nvPicPr>
        <xdr:cNvPr id="1643" name="Рисунок 619"/>
        <xdr:cNvPicPr>
          <a:picLocks noChangeAspect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1095375" y="266985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636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44" name="Рисунок 620"/>
        <xdr:cNvPicPr>
          <a:picLocks noChangeAspect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637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45" name="Рисунок 621"/>
        <xdr:cNvPicPr>
          <a:picLocks noChangeAspect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638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46" name="Рисунок 622"/>
        <xdr:cNvPicPr>
          <a:picLocks noChangeAspect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639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47" name="Рисунок 623"/>
        <xdr:cNvPicPr>
          <a:picLocks noChangeAspect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640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48" name="Рисунок 624"/>
        <xdr:cNvPicPr>
          <a:picLocks noChangeAspect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641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49" name="Рисунок 625"/>
        <xdr:cNvPicPr>
          <a:picLocks noChangeAspect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642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50" name="Рисунок 626"/>
        <xdr:cNvPicPr>
          <a:picLocks noChangeAspect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643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51" name="Рисунок 627"/>
        <xdr:cNvPicPr>
          <a:picLocks noChangeAspect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644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52" name="Рисунок 628"/>
        <xdr:cNvPicPr>
          <a:picLocks noChangeAspect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645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53" name="Рисунок 629"/>
        <xdr:cNvPicPr>
          <a:picLocks noChangeAspect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646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54" name="Рисунок 630"/>
        <xdr:cNvPicPr>
          <a:picLocks noChangeAspect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647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55" name="Рисунок 631"/>
        <xdr:cNvPicPr>
          <a:picLocks noChangeAspect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648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56" name="Рисунок 632"/>
        <xdr:cNvPicPr>
          <a:picLocks noChangeAspect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649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57" name="Рисунок 633"/>
        <xdr:cNvPicPr>
          <a:picLocks noChangeAspect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650</xdr:row>
      <xdr:rowOff>9525</xdr:rowOff>
    </xdr:from>
    <xdr:to>
      <xdr:col>2</xdr:col>
      <xdr:colOff>638175</xdr:colOff>
      <xdr:row>651</xdr:row>
      <xdr:rowOff>571500</xdr:rowOff>
    </xdr:to>
    <xdr:pic>
      <xdr:nvPicPr>
        <xdr:cNvPr id="1658" name="Рисунок 634"/>
        <xdr:cNvPicPr>
          <a:picLocks noChangeAspect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1095375" y="27279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651</xdr:row>
      <xdr:rowOff>9525</xdr:rowOff>
    </xdr:from>
    <xdr:to>
      <xdr:col>2</xdr:col>
      <xdr:colOff>638175</xdr:colOff>
      <xdr:row>651</xdr:row>
      <xdr:rowOff>581025</xdr:rowOff>
    </xdr:to>
    <xdr:pic>
      <xdr:nvPicPr>
        <xdr:cNvPr id="1659" name="Рисунок 635"/>
        <xdr:cNvPicPr>
          <a:picLocks noChangeAspect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1095375" y="272891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652</xdr:row>
      <xdr:rowOff>9525</xdr:rowOff>
    </xdr:from>
    <xdr:to>
      <xdr:col>2</xdr:col>
      <xdr:colOff>638175</xdr:colOff>
      <xdr:row>652</xdr:row>
      <xdr:rowOff>581025</xdr:rowOff>
    </xdr:to>
    <xdr:pic>
      <xdr:nvPicPr>
        <xdr:cNvPr id="1660" name="Рисунок 636"/>
        <xdr:cNvPicPr>
          <a:picLocks noChangeAspect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1095375" y="278796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653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61" name="Рисунок 637"/>
        <xdr:cNvPicPr>
          <a:picLocks noChangeAspect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654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62" name="Рисунок 638"/>
        <xdr:cNvPicPr>
          <a:picLocks noChangeAspect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655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63" name="Рисунок 639"/>
        <xdr:cNvPicPr>
          <a:picLocks noChangeAspect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656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64" name="Рисунок 640"/>
        <xdr:cNvPicPr>
          <a:picLocks noChangeAspect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657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65" name="Рисунок 641"/>
        <xdr:cNvPicPr>
          <a:picLocks noChangeAspect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658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66" name="Рисунок 642"/>
        <xdr:cNvPicPr>
          <a:picLocks noChangeAspect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659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67" name="Рисунок 643"/>
        <xdr:cNvPicPr>
          <a:picLocks noChangeAspect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660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68" name="Рисунок 644"/>
        <xdr:cNvPicPr>
          <a:picLocks noChangeAspect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662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69" name="Рисунок 64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663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70" name="Рисунок 646"/>
        <xdr:cNvPicPr>
          <a:picLocks noChangeAspect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664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71" name="Рисунок 647"/>
        <xdr:cNvPicPr>
          <a:picLocks noChangeAspect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665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72" name="Рисунок 648"/>
        <xdr:cNvPicPr>
          <a:picLocks noChangeAspect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666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73" name="Рисунок 649"/>
        <xdr:cNvPicPr>
          <a:picLocks noChangeAspect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667</xdr:row>
      <xdr:rowOff>9525</xdr:rowOff>
    </xdr:from>
    <xdr:to>
      <xdr:col>2</xdr:col>
      <xdr:colOff>638175</xdr:colOff>
      <xdr:row>668</xdr:row>
      <xdr:rowOff>571500</xdr:rowOff>
    </xdr:to>
    <xdr:pic>
      <xdr:nvPicPr>
        <xdr:cNvPr id="1674" name="Рисунок 650"/>
        <xdr:cNvPicPr>
          <a:picLocks noChangeAspect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1095375" y="28460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668</xdr:row>
      <xdr:rowOff>9525</xdr:rowOff>
    </xdr:from>
    <xdr:to>
      <xdr:col>2</xdr:col>
      <xdr:colOff>638175</xdr:colOff>
      <xdr:row>668</xdr:row>
      <xdr:rowOff>581025</xdr:rowOff>
    </xdr:to>
    <xdr:pic>
      <xdr:nvPicPr>
        <xdr:cNvPr id="1675" name="Рисунок 651"/>
        <xdr:cNvPicPr>
          <a:picLocks noChangeAspect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095375" y="284702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669</xdr:row>
      <xdr:rowOff>9525</xdr:rowOff>
    </xdr:from>
    <xdr:to>
      <xdr:col>2</xdr:col>
      <xdr:colOff>638175</xdr:colOff>
      <xdr:row>669</xdr:row>
      <xdr:rowOff>581025</xdr:rowOff>
    </xdr:to>
    <xdr:pic>
      <xdr:nvPicPr>
        <xdr:cNvPr id="1676" name="Рисунок 652"/>
        <xdr:cNvPicPr>
          <a:picLocks noChangeAspect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1095375" y="290607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670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77" name="Рисунок 653"/>
        <xdr:cNvPicPr>
          <a:picLocks noChangeAspect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671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78" name="Рисунок 654"/>
        <xdr:cNvPicPr>
          <a:picLocks noChangeAspect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672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79" name="Рисунок 655"/>
        <xdr:cNvPicPr>
          <a:picLocks noChangeAspect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673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80" name="Рисунок 656"/>
        <xdr:cNvPicPr>
          <a:picLocks noChangeAspect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674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81" name="Рисунок 657"/>
        <xdr:cNvPicPr>
          <a:picLocks noChangeAspect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675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82" name="Рисунок 658"/>
        <xdr:cNvPicPr>
          <a:picLocks noChangeAspect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676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83" name="Рисунок 659"/>
        <xdr:cNvPicPr>
          <a:picLocks noChangeAspect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677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84" name="Рисунок 660"/>
        <xdr:cNvPicPr>
          <a:picLocks noChangeAspect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678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85" name="Рисунок 661"/>
        <xdr:cNvPicPr>
          <a:picLocks noChangeAspect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679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86" name="Рисунок 662"/>
        <xdr:cNvPicPr>
          <a:picLocks noChangeAspect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680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87" name="Рисунок 663"/>
        <xdr:cNvPicPr>
          <a:picLocks noChangeAspect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681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88" name="Рисунок 664"/>
        <xdr:cNvPicPr>
          <a:picLocks noChangeAspect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682</xdr:row>
      <xdr:rowOff>9525</xdr:rowOff>
    </xdr:from>
    <xdr:to>
      <xdr:col>2</xdr:col>
      <xdr:colOff>561975</xdr:colOff>
      <xdr:row>685</xdr:row>
      <xdr:rowOff>571500</xdr:rowOff>
    </xdr:to>
    <xdr:pic>
      <xdr:nvPicPr>
        <xdr:cNvPr id="1689" name="Рисунок 665"/>
        <xdr:cNvPicPr>
          <a:picLocks noChangeAspect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1171575" y="29641800"/>
          <a:ext cx="419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683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90" name="Рисунок 666"/>
        <xdr:cNvPicPr>
          <a:picLocks noChangeAspect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684</xdr:row>
      <xdr:rowOff>9525</xdr:rowOff>
    </xdr:from>
    <xdr:to>
      <xdr:col>2</xdr:col>
      <xdr:colOff>638175</xdr:colOff>
      <xdr:row>685</xdr:row>
      <xdr:rowOff>571500</xdr:rowOff>
    </xdr:to>
    <xdr:pic>
      <xdr:nvPicPr>
        <xdr:cNvPr id="1691" name="Рисунок 667"/>
        <xdr:cNvPicPr>
          <a:picLocks noChangeAspect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1095375" y="29641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685</xdr:row>
      <xdr:rowOff>9525</xdr:rowOff>
    </xdr:from>
    <xdr:to>
      <xdr:col>2</xdr:col>
      <xdr:colOff>638175</xdr:colOff>
      <xdr:row>685</xdr:row>
      <xdr:rowOff>581025</xdr:rowOff>
    </xdr:to>
    <xdr:pic>
      <xdr:nvPicPr>
        <xdr:cNvPr id="1692" name="Рисунок 668"/>
        <xdr:cNvPicPr>
          <a:picLocks noChangeAspect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1095375" y="296513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686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693" name="Рисунок 669"/>
        <xdr:cNvPicPr>
          <a:picLocks noChangeAspect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687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694" name="Рисунок 670"/>
        <xdr:cNvPicPr>
          <a:picLocks noChangeAspect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688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695" name="Рисунок 671"/>
        <xdr:cNvPicPr>
          <a:picLocks noChangeAspect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689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696" name="Рисунок 672"/>
        <xdr:cNvPicPr>
          <a:picLocks noChangeAspect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690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697" name="Рисунок 673"/>
        <xdr:cNvPicPr>
          <a:picLocks noChangeAspect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691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698" name="Рисунок 674"/>
        <xdr:cNvPicPr>
          <a:picLocks noChangeAspect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692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699" name="Рисунок 675"/>
        <xdr:cNvPicPr>
          <a:picLocks noChangeAspect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693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700" name="Рисунок 676"/>
        <xdr:cNvPicPr>
          <a:picLocks noChangeAspect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694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701" name="Рисунок 677"/>
        <xdr:cNvPicPr>
          <a:picLocks noChangeAspect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695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702" name="Рисунок 678"/>
        <xdr:cNvPicPr>
          <a:picLocks noChangeAspect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696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703" name="Рисунок 679"/>
        <xdr:cNvPicPr>
          <a:picLocks noChangeAspect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697</xdr:row>
      <xdr:rowOff>9525</xdr:rowOff>
    </xdr:from>
    <xdr:to>
      <xdr:col>2</xdr:col>
      <xdr:colOff>638175</xdr:colOff>
      <xdr:row>698</xdr:row>
      <xdr:rowOff>571500</xdr:rowOff>
    </xdr:to>
    <xdr:pic>
      <xdr:nvPicPr>
        <xdr:cNvPr id="1704" name="Рисунок 680"/>
        <xdr:cNvPicPr>
          <a:picLocks noChangeAspect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1095375" y="302323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698</xdr:row>
      <xdr:rowOff>9525</xdr:rowOff>
    </xdr:from>
    <xdr:to>
      <xdr:col>2</xdr:col>
      <xdr:colOff>638175</xdr:colOff>
      <xdr:row>698</xdr:row>
      <xdr:rowOff>581025</xdr:rowOff>
    </xdr:to>
    <xdr:pic>
      <xdr:nvPicPr>
        <xdr:cNvPr id="1705" name="Рисунок 681"/>
        <xdr:cNvPicPr>
          <a:picLocks noChangeAspect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1095375" y="302418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699</xdr:row>
      <xdr:rowOff>9525</xdr:rowOff>
    </xdr:from>
    <xdr:to>
      <xdr:col>2</xdr:col>
      <xdr:colOff>638175</xdr:colOff>
      <xdr:row>707</xdr:row>
      <xdr:rowOff>571500</xdr:rowOff>
    </xdr:to>
    <xdr:pic>
      <xdr:nvPicPr>
        <xdr:cNvPr id="1706" name="Рисунок 682"/>
        <xdr:cNvPicPr>
          <a:picLocks noChangeAspect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1095375" y="30822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700</xdr:row>
      <xdr:rowOff>9525</xdr:rowOff>
    </xdr:from>
    <xdr:to>
      <xdr:col>2</xdr:col>
      <xdr:colOff>638175</xdr:colOff>
      <xdr:row>707</xdr:row>
      <xdr:rowOff>571500</xdr:rowOff>
    </xdr:to>
    <xdr:pic>
      <xdr:nvPicPr>
        <xdr:cNvPr id="1707" name="Рисунок 683"/>
        <xdr:cNvPicPr>
          <a:picLocks noChangeAspect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1095375" y="30822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701</xdr:row>
      <xdr:rowOff>9525</xdr:rowOff>
    </xdr:from>
    <xdr:to>
      <xdr:col>2</xdr:col>
      <xdr:colOff>638175</xdr:colOff>
      <xdr:row>707</xdr:row>
      <xdr:rowOff>571500</xdr:rowOff>
    </xdr:to>
    <xdr:pic>
      <xdr:nvPicPr>
        <xdr:cNvPr id="1708" name="Рисунок 684"/>
        <xdr:cNvPicPr>
          <a:picLocks noChangeAspect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1095375" y="30822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702</xdr:row>
      <xdr:rowOff>9525</xdr:rowOff>
    </xdr:from>
    <xdr:to>
      <xdr:col>2</xdr:col>
      <xdr:colOff>638175</xdr:colOff>
      <xdr:row>707</xdr:row>
      <xdr:rowOff>571500</xdr:rowOff>
    </xdr:to>
    <xdr:pic>
      <xdr:nvPicPr>
        <xdr:cNvPr id="1709" name="Рисунок 685"/>
        <xdr:cNvPicPr>
          <a:picLocks noChangeAspect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1095375" y="30822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703</xdr:row>
      <xdr:rowOff>9525</xdr:rowOff>
    </xdr:from>
    <xdr:to>
      <xdr:col>2</xdr:col>
      <xdr:colOff>638175</xdr:colOff>
      <xdr:row>707</xdr:row>
      <xdr:rowOff>571500</xdr:rowOff>
    </xdr:to>
    <xdr:pic>
      <xdr:nvPicPr>
        <xdr:cNvPr id="1710" name="Рисунок 686"/>
        <xdr:cNvPicPr>
          <a:picLocks noChangeAspect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1095375" y="30822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704</xdr:row>
      <xdr:rowOff>9525</xdr:rowOff>
    </xdr:from>
    <xdr:to>
      <xdr:col>2</xdr:col>
      <xdr:colOff>638175</xdr:colOff>
      <xdr:row>707</xdr:row>
      <xdr:rowOff>571500</xdr:rowOff>
    </xdr:to>
    <xdr:pic>
      <xdr:nvPicPr>
        <xdr:cNvPr id="1711" name="Рисунок 687"/>
        <xdr:cNvPicPr>
          <a:picLocks noChangeAspect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1095375" y="30822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705</xdr:row>
      <xdr:rowOff>9525</xdr:rowOff>
    </xdr:from>
    <xdr:to>
      <xdr:col>2</xdr:col>
      <xdr:colOff>638175</xdr:colOff>
      <xdr:row>707</xdr:row>
      <xdr:rowOff>571500</xdr:rowOff>
    </xdr:to>
    <xdr:pic>
      <xdr:nvPicPr>
        <xdr:cNvPr id="1712" name="Рисунок 688"/>
        <xdr:cNvPicPr>
          <a:picLocks noChangeAspect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1095375" y="30822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706</xdr:row>
      <xdr:rowOff>9525</xdr:rowOff>
    </xdr:from>
    <xdr:to>
      <xdr:col>2</xdr:col>
      <xdr:colOff>638175</xdr:colOff>
      <xdr:row>707</xdr:row>
      <xdr:rowOff>571500</xdr:rowOff>
    </xdr:to>
    <xdr:pic>
      <xdr:nvPicPr>
        <xdr:cNvPr id="1713" name="Рисунок 689"/>
        <xdr:cNvPicPr>
          <a:picLocks noChangeAspect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1095375" y="30822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707</xdr:row>
      <xdr:rowOff>9525</xdr:rowOff>
    </xdr:from>
    <xdr:to>
      <xdr:col>2</xdr:col>
      <xdr:colOff>638175</xdr:colOff>
      <xdr:row>707</xdr:row>
      <xdr:rowOff>581025</xdr:rowOff>
    </xdr:to>
    <xdr:pic>
      <xdr:nvPicPr>
        <xdr:cNvPr id="1714" name="Рисунок 690"/>
        <xdr:cNvPicPr>
          <a:picLocks noChangeAspect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1095375" y="308324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15" name="Рисунок 691"/>
        <xdr:cNvPicPr>
          <a:picLocks noChangeAspect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709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16" name="Рисунок 692"/>
        <xdr:cNvPicPr>
          <a:picLocks noChangeAspect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17" name="Рисунок 693"/>
        <xdr:cNvPicPr>
          <a:picLocks noChangeAspect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18" name="Рисунок 694"/>
        <xdr:cNvPicPr>
          <a:picLocks noChangeAspect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19" name="Рисунок 695"/>
        <xdr:cNvPicPr>
          <a:picLocks noChangeAspect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0" name="Рисунок 696"/>
        <xdr:cNvPicPr>
          <a:picLocks noChangeAspect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1" name="Рисунок 697"/>
        <xdr:cNvPicPr>
          <a:picLocks noChangeAspect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2" name="Рисунок 698"/>
        <xdr:cNvPicPr>
          <a:picLocks noChangeAspect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3" name="Рисунок 699"/>
        <xdr:cNvPicPr>
          <a:picLocks noChangeAspect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4" name="Рисунок 700"/>
        <xdr:cNvPicPr>
          <a:picLocks noChangeAspect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5" name="Рисунок 701"/>
        <xdr:cNvPicPr>
          <a:picLocks noChangeAspect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719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6" name="Рисунок 702"/>
        <xdr:cNvPicPr>
          <a:picLocks noChangeAspect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7" name="Рисунок 703"/>
        <xdr:cNvPicPr>
          <a:picLocks noChangeAspect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8" name="Рисунок 704"/>
        <xdr:cNvPicPr>
          <a:picLocks noChangeAspect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29" name="Рисунок 705"/>
        <xdr:cNvPicPr>
          <a:picLocks noChangeAspect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0" name="Рисунок 706"/>
        <xdr:cNvPicPr>
          <a:picLocks noChangeAspect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1" name="Рисунок 707"/>
        <xdr:cNvPicPr>
          <a:picLocks noChangeAspect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2" name="Рисунок 708"/>
        <xdr:cNvPicPr>
          <a:picLocks noChangeAspect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3" name="Рисунок 709"/>
        <xdr:cNvPicPr>
          <a:picLocks noChangeAspect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4" name="Рисунок 710"/>
        <xdr:cNvPicPr>
          <a:picLocks noChangeAspect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5" name="Рисунок 711"/>
        <xdr:cNvPicPr>
          <a:picLocks noChangeAspect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729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6" name="Рисунок 712"/>
        <xdr:cNvPicPr>
          <a:picLocks noChangeAspect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7" name="Рисунок 713"/>
        <xdr:cNvPicPr>
          <a:picLocks noChangeAspect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8" name="Рисунок 714"/>
        <xdr:cNvPicPr>
          <a:picLocks noChangeAspect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39" name="Рисунок 715"/>
        <xdr:cNvPicPr>
          <a:picLocks noChangeAspect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40" name="Рисунок 716"/>
        <xdr:cNvPicPr>
          <a:picLocks noChangeAspect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41" name="Рисунок 717"/>
        <xdr:cNvPicPr>
          <a:picLocks noChangeAspect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42" name="Рисунок 718"/>
        <xdr:cNvPicPr>
          <a:picLocks noChangeAspect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736</xdr:row>
      <xdr:rowOff>9525</xdr:rowOff>
    </xdr:from>
    <xdr:to>
      <xdr:col>2</xdr:col>
      <xdr:colOff>685800</xdr:colOff>
      <xdr:row>821</xdr:row>
      <xdr:rowOff>571500</xdr:rowOff>
    </xdr:to>
    <xdr:pic>
      <xdr:nvPicPr>
        <xdr:cNvPr id="1743" name="Рисунок 719"/>
        <xdr:cNvPicPr>
          <a:picLocks noChangeAspect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1057275" y="31413450"/>
          <a:ext cx="6572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44" name="Рисунок 720"/>
        <xdr:cNvPicPr>
          <a:picLocks noChangeAspect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739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45" name="Рисунок 721"/>
        <xdr:cNvPicPr>
          <a:picLocks noChangeAspect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46" name="Рисунок 722"/>
        <xdr:cNvPicPr>
          <a:picLocks noChangeAspect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47" name="Рисунок 723"/>
        <xdr:cNvPicPr>
          <a:picLocks noChangeAspect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48" name="Рисунок 724"/>
        <xdr:cNvPicPr>
          <a:picLocks noChangeAspect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49" name="Рисунок 725"/>
        <xdr:cNvPicPr>
          <a:picLocks noChangeAspect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0" name="Рисунок 726"/>
        <xdr:cNvPicPr>
          <a:picLocks noChangeAspect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1" name="Рисунок 727"/>
        <xdr:cNvPicPr>
          <a:picLocks noChangeAspect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2" name="Рисунок 728"/>
        <xdr:cNvPicPr>
          <a:picLocks noChangeAspect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3" name="Рисунок 729"/>
        <xdr:cNvPicPr>
          <a:picLocks noChangeAspect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4" name="Рисунок 730"/>
        <xdr:cNvPicPr>
          <a:picLocks noChangeAspect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749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5" name="Рисунок 731"/>
        <xdr:cNvPicPr>
          <a:picLocks noChangeAspect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6" name="Рисунок 732"/>
        <xdr:cNvPicPr>
          <a:picLocks noChangeAspect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7" name="Рисунок 733"/>
        <xdr:cNvPicPr>
          <a:picLocks noChangeAspect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8" name="Рисунок 734"/>
        <xdr:cNvPicPr>
          <a:picLocks noChangeAspect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59" name="Рисунок 735"/>
        <xdr:cNvPicPr>
          <a:picLocks noChangeAspect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0" name="Рисунок 736"/>
        <xdr:cNvPicPr>
          <a:picLocks noChangeAspect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1" name="Рисунок 737"/>
        <xdr:cNvPicPr>
          <a:picLocks noChangeAspect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2" name="Рисунок 738"/>
        <xdr:cNvPicPr>
          <a:picLocks noChangeAspect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3" name="Рисунок 739"/>
        <xdr:cNvPicPr>
          <a:picLocks noChangeAspect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4" name="Рисунок 740"/>
        <xdr:cNvPicPr>
          <a:picLocks noChangeAspect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759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5" name="Рисунок 741"/>
        <xdr:cNvPicPr>
          <a:picLocks noChangeAspect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6" name="Рисунок 742"/>
        <xdr:cNvPicPr>
          <a:picLocks noChangeAspect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7" name="Рисунок 743"/>
        <xdr:cNvPicPr>
          <a:picLocks noChangeAspect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8" name="Рисунок 744"/>
        <xdr:cNvPicPr>
          <a:picLocks noChangeAspect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69" name="Рисунок 745"/>
        <xdr:cNvPicPr>
          <a:picLocks noChangeAspect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0" name="Рисунок 746"/>
        <xdr:cNvPicPr>
          <a:picLocks noChangeAspect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1" name="Рисунок 747"/>
        <xdr:cNvPicPr>
          <a:picLocks noChangeAspect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2" name="Рисунок 748"/>
        <xdr:cNvPicPr>
          <a:picLocks noChangeAspect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3" name="Рисунок 749"/>
        <xdr:cNvPicPr>
          <a:picLocks noChangeAspect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4" name="Рисунок 750"/>
        <xdr:cNvPicPr>
          <a:picLocks noChangeAspect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769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5" name="Рисунок 751"/>
        <xdr:cNvPicPr>
          <a:picLocks noChangeAspect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6" name="Рисунок 752"/>
        <xdr:cNvPicPr>
          <a:picLocks noChangeAspect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7" name="Рисунок 753"/>
        <xdr:cNvPicPr>
          <a:picLocks noChangeAspect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8" name="Рисунок 754"/>
        <xdr:cNvPicPr>
          <a:picLocks noChangeAspect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79" name="Рисунок 755"/>
        <xdr:cNvPicPr>
          <a:picLocks noChangeAspect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0" name="Рисунок 756"/>
        <xdr:cNvPicPr>
          <a:picLocks noChangeAspect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1" name="Рисунок 757"/>
        <xdr:cNvPicPr>
          <a:picLocks noChangeAspect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2" name="Рисунок 758"/>
        <xdr:cNvPicPr>
          <a:picLocks noChangeAspect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3" name="Рисунок 759"/>
        <xdr:cNvPicPr>
          <a:picLocks noChangeAspect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4" name="Рисунок 760"/>
        <xdr:cNvPicPr>
          <a:picLocks noChangeAspect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779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5" name="Рисунок 761"/>
        <xdr:cNvPicPr>
          <a:picLocks noChangeAspect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6" name="Рисунок 762"/>
        <xdr:cNvPicPr>
          <a:picLocks noChangeAspect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7" name="Рисунок 763"/>
        <xdr:cNvPicPr>
          <a:picLocks noChangeAspect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8" name="Рисунок 764"/>
        <xdr:cNvPicPr>
          <a:picLocks noChangeAspect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89" name="Рисунок 765"/>
        <xdr:cNvPicPr>
          <a:picLocks noChangeAspect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0" name="Рисунок 766"/>
        <xdr:cNvPicPr>
          <a:picLocks noChangeAspect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1" name="Рисунок 767"/>
        <xdr:cNvPicPr>
          <a:picLocks noChangeAspect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2" name="Рисунок 768"/>
        <xdr:cNvPicPr>
          <a:picLocks noChangeAspect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3" name="Рисунок 769"/>
        <xdr:cNvPicPr>
          <a:picLocks noChangeAspect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789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4" name="Рисунок 770"/>
        <xdr:cNvPicPr>
          <a:picLocks noChangeAspect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5" name="Рисунок 771"/>
        <xdr:cNvPicPr>
          <a:picLocks noChangeAspect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6" name="Рисунок 772"/>
        <xdr:cNvPicPr>
          <a:picLocks noChangeAspect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7" name="Рисунок 773"/>
        <xdr:cNvPicPr>
          <a:picLocks noChangeAspect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8" name="Рисунок 774"/>
        <xdr:cNvPicPr>
          <a:picLocks noChangeAspect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799" name="Рисунок 775"/>
        <xdr:cNvPicPr>
          <a:picLocks noChangeAspect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0" name="Рисунок 776"/>
        <xdr:cNvPicPr>
          <a:picLocks noChangeAspect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1" name="Рисунок 777"/>
        <xdr:cNvPicPr>
          <a:picLocks noChangeAspect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2" name="Рисунок 778"/>
        <xdr:cNvPicPr>
          <a:picLocks noChangeAspect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3" name="Рисунок 779"/>
        <xdr:cNvPicPr>
          <a:picLocks noChangeAspect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799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4" name="Рисунок 780"/>
        <xdr:cNvPicPr>
          <a:picLocks noChangeAspect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5" name="Рисунок 781"/>
        <xdr:cNvPicPr>
          <a:picLocks noChangeAspect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6" name="Рисунок 782"/>
        <xdr:cNvPicPr>
          <a:picLocks noChangeAspect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7" name="Рисунок 783"/>
        <xdr:cNvPicPr>
          <a:picLocks noChangeAspect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8" name="Рисунок 784"/>
        <xdr:cNvPicPr>
          <a:picLocks noChangeAspect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09" name="Рисунок 785"/>
        <xdr:cNvPicPr>
          <a:picLocks noChangeAspect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0" name="Рисунок 786"/>
        <xdr:cNvPicPr>
          <a:picLocks noChangeAspect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1" name="Рисунок 787"/>
        <xdr:cNvPicPr>
          <a:picLocks noChangeAspect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2" name="Рисунок 788"/>
        <xdr:cNvPicPr>
          <a:picLocks noChangeAspect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3" name="Рисунок 789"/>
        <xdr:cNvPicPr>
          <a:picLocks noChangeAspect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809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4" name="Рисунок 790"/>
        <xdr:cNvPicPr>
          <a:picLocks noChangeAspect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5" name="Рисунок 791"/>
        <xdr:cNvPicPr>
          <a:picLocks noChangeAspect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811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6" name="Рисунок 792"/>
        <xdr:cNvPicPr>
          <a:picLocks noChangeAspect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812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7" name="Рисунок 793"/>
        <xdr:cNvPicPr>
          <a:picLocks noChangeAspect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813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8" name="Рисунок 794"/>
        <xdr:cNvPicPr>
          <a:picLocks noChangeAspect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814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19" name="Рисунок 795"/>
        <xdr:cNvPicPr>
          <a:picLocks noChangeAspect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815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20" name="Рисунок 796"/>
        <xdr:cNvPicPr>
          <a:picLocks noChangeAspect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816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21" name="Рисунок 797"/>
        <xdr:cNvPicPr>
          <a:picLocks noChangeAspect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817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22" name="Рисунок 798"/>
        <xdr:cNvPicPr>
          <a:picLocks noChangeAspect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818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23" name="Рисунок 799"/>
        <xdr:cNvPicPr>
          <a:picLocks noChangeAspect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819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24" name="Рисунок 800"/>
        <xdr:cNvPicPr>
          <a:picLocks noChangeAspect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820</xdr:row>
      <xdr:rowOff>9525</xdr:rowOff>
    </xdr:from>
    <xdr:to>
      <xdr:col>2</xdr:col>
      <xdr:colOff>638175</xdr:colOff>
      <xdr:row>821</xdr:row>
      <xdr:rowOff>571500</xdr:rowOff>
    </xdr:to>
    <xdr:pic>
      <xdr:nvPicPr>
        <xdr:cNvPr id="1825" name="Рисунок 801"/>
        <xdr:cNvPicPr>
          <a:picLocks noChangeAspect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1095375" y="314134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821</xdr:row>
      <xdr:rowOff>9525</xdr:rowOff>
    </xdr:from>
    <xdr:to>
      <xdr:col>2</xdr:col>
      <xdr:colOff>638175</xdr:colOff>
      <xdr:row>821</xdr:row>
      <xdr:rowOff>581025</xdr:rowOff>
    </xdr:to>
    <xdr:pic>
      <xdr:nvPicPr>
        <xdr:cNvPr id="1826" name="Рисунок 802"/>
        <xdr:cNvPicPr>
          <a:picLocks noChangeAspect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1095375" y="314229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822</xdr:row>
      <xdr:rowOff>9525</xdr:rowOff>
    </xdr:from>
    <xdr:to>
      <xdr:col>2</xdr:col>
      <xdr:colOff>638175</xdr:colOff>
      <xdr:row>822</xdr:row>
      <xdr:rowOff>581025</xdr:rowOff>
    </xdr:to>
    <xdr:pic>
      <xdr:nvPicPr>
        <xdr:cNvPr id="1827" name="Рисунок 803"/>
        <xdr:cNvPicPr>
          <a:picLocks noChangeAspect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1095375" y="320135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823</xdr:row>
      <xdr:rowOff>9525</xdr:rowOff>
    </xdr:from>
    <xdr:to>
      <xdr:col>2</xdr:col>
      <xdr:colOff>638175</xdr:colOff>
      <xdr:row>829</xdr:row>
      <xdr:rowOff>571500</xdr:rowOff>
    </xdr:to>
    <xdr:pic>
      <xdr:nvPicPr>
        <xdr:cNvPr id="1828" name="Рисунок 804"/>
        <xdr:cNvPicPr>
          <a:picLocks noChangeAspect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1095375" y="32594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824</xdr:row>
      <xdr:rowOff>9525</xdr:rowOff>
    </xdr:from>
    <xdr:to>
      <xdr:col>2</xdr:col>
      <xdr:colOff>638175</xdr:colOff>
      <xdr:row>829</xdr:row>
      <xdr:rowOff>571500</xdr:rowOff>
    </xdr:to>
    <xdr:pic>
      <xdr:nvPicPr>
        <xdr:cNvPr id="1829" name="Рисунок 805"/>
        <xdr:cNvPicPr>
          <a:picLocks noChangeAspect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1095375" y="32594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825</xdr:row>
      <xdr:rowOff>9525</xdr:rowOff>
    </xdr:from>
    <xdr:to>
      <xdr:col>2</xdr:col>
      <xdr:colOff>638175</xdr:colOff>
      <xdr:row>829</xdr:row>
      <xdr:rowOff>571500</xdr:rowOff>
    </xdr:to>
    <xdr:pic>
      <xdr:nvPicPr>
        <xdr:cNvPr id="1830" name="Рисунок 806"/>
        <xdr:cNvPicPr>
          <a:picLocks noChangeAspect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1095375" y="32594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826</xdr:row>
      <xdr:rowOff>9525</xdr:rowOff>
    </xdr:from>
    <xdr:to>
      <xdr:col>2</xdr:col>
      <xdr:colOff>638175</xdr:colOff>
      <xdr:row>829</xdr:row>
      <xdr:rowOff>571500</xdr:rowOff>
    </xdr:to>
    <xdr:pic>
      <xdr:nvPicPr>
        <xdr:cNvPr id="1831" name="Рисунок 807"/>
        <xdr:cNvPicPr>
          <a:picLocks noChangeAspect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1095375" y="32594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827</xdr:row>
      <xdr:rowOff>9525</xdr:rowOff>
    </xdr:from>
    <xdr:to>
      <xdr:col>2</xdr:col>
      <xdr:colOff>638175</xdr:colOff>
      <xdr:row>829</xdr:row>
      <xdr:rowOff>571500</xdr:rowOff>
    </xdr:to>
    <xdr:pic>
      <xdr:nvPicPr>
        <xdr:cNvPr id="1832" name="Рисунок 808"/>
        <xdr:cNvPicPr>
          <a:picLocks noChangeAspect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1095375" y="32594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828</xdr:row>
      <xdr:rowOff>9525</xdr:rowOff>
    </xdr:from>
    <xdr:to>
      <xdr:col>2</xdr:col>
      <xdr:colOff>638175</xdr:colOff>
      <xdr:row>829</xdr:row>
      <xdr:rowOff>571500</xdr:rowOff>
    </xdr:to>
    <xdr:pic>
      <xdr:nvPicPr>
        <xdr:cNvPr id="1833" name="Рисунок 809"/>
        <xdr:cNvPicPr>
          <a:picLocks noChangeAspect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095375" y="325945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829</xdr:row>
      <xdr:rowOff>9525</xdr:rowOff>
    </xdr:from>
    <xdr:to>
      <xdr:col>2</xdr:col>
      <xdr:colOff>638175</xdr:colOff>
      <xdr:row>829</xdr:row>
      <xdr:rowOff>581025</xdr:rowOff>
    </xdr:to>
    <xdr:pic>
      <xdr:nvPicPr>
        <xdr:cNvPr id="1834" name="Рисунок 810"/>
        <xdr:cNvPicPr>
          <a:picLocks noChangeAspect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1095375" y="326040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830</xdr:row>
      <xdr:rowOff>9525</xdr:rowOff>
    </xdr:from>
    <xdr:to>
      <xdr:col>2</xdr:col>
      <xdr:colOff>638175</xdr:colOff>
      <xdr:row>832</xdr:row>
      <xdr:rowOff>571500</xdr:rowOff>
    </xdr:to>
    <xdr:pic>
      <xdr:nvPicPr>
        <xdr:cNvPr id="1835" name="Рисунок 811"/>
        <xdr:cNvPicPr>
          <a:picLocks noChangeAspect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095375" y="331851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831</xdr:row>
      <xdr:rowOff>9525</xdr:rowOff>
    </xdr:from>
    <xdr:to>
      <xdr:col>2</xdr:col>
      <xdr:colOff>638175</xdr:colOff>
      <xdr:row>832</xdr:row>
      <xdr:rowOff>571500</xdr:rowOff>
    </xdr:to>
    <xdr:pic>
      <xdr:nvPicPr>
        <xdr:cNvPr id="1836" name="Рисунок 812"/>
        <xdr:cNvPicPr>
          <a:picLocks noChangeAspect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1095375" y="331851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832</xdr:row>
      <xdr:rowOff>9525</xdr:rowOff>
    </xdr:from>
    <xdr:to>
      <xdr:col>2</xdr:col>
      <xdr:colOff>638175</xdr:colOff>
      <xdr:row>832</xdr:row>
      <xdr:rowOff>581025</xdr:rowOff>
    </xdr:to>
    <xdr:pic>
      <xdr:nvPicPr>
        <xdr:cNvPr id="1837" name="Рисунок 813"/>
        <xdr:cNvPicPr>
          <a:picLocks noChangeAspect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1095375" y="331946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833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38" name="Рисунок 814"/>
        <xdr:cNvPicPr>
          <a:picLocks noChangeAspect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834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39" name="Рисунок 815"/>
        <xdr:cNvPicPr>
          <a:picLocks noChangeAspect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835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0" name="Рисунок 816"/>
        <xdr:cNvPicPr>
          <a:picLocks noChangeAspect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836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1" name="Рисунок 817"/>
        <xdr:cNvPicPr>
          <a:picLocks noChangeAspect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837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2" name="Рисунок 818"/>
        <xdr:cNvPicPr>
          <a:picLocks noChangeAspect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838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3" name="Рисунок 819"/>
        <xdr:cNvPicPr>
          <a:picLocks noChangeAspect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839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4" name="Рисунок 820"/>
        <xdr:cNvPicPr>
          <a:picLocks noChangeAspect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840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5" name="Рисунок 821"/>
        <xdr:cNvPicPr>
          <a:picLocks noChangeAspect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841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6" name="Рисунок 822"/>
        <xdr:cNvPicPr>
          <a:picLocks noChangeAspect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842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7" name="Рисунок 823"/>
        <xdr:cNvPicPr>
          <a:picLocks noChangeAspect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843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8" name="Рисунок 824"/>
        <xdr:cNvPicPr>
          <a:picLocks noChangeAspect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844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49" name="Рисунок 825"/>
        <xdr:cNvPicPr>
          <a:picLocks noChangeAspect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845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50" name="Рисунок 826"/>
        <xdr:cNvPicPr>
          <a:picLocks noChangeAspect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846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51" name="Рисунок 827"/>
        <xdr:cNvPicPr>
          <a:picLocks noChangeAspect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847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52" name="Рисунок 828"/>
        <xdr:cNvPicPr>
          <a:picLocks noChangeAspect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848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53" name="Рисунок 829"/>
        <xdr:cNvPicPr>
          <a:picLocks noChangeAspect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849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54" name="Рисунок 830"/>
        <xdr:cNvPicPr>
          <a:picLocks noChangeAspect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850</xdr:row>
      <xdr:rowOff>9525</xdr:rowOff>
    </xdr:from>
    <xdr:to>
      <xdr:col>2</xdr:col>
      <xdr:colOff>638175</xdr:colOff>
      <xdr:row>851</xdr:row>
      <xdr:rowOff>571500</xdr:rowOff>
    </xdr:to>
    <xdr:pic>
      <xdr:nvPicPr>
        <xdr:cNvPr id="1855" name="Рисунок 831"/>
        <xdr:cNvPicPr>
          <a:picLocks noChangeAspect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1095375" y="337756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851</xdr:row>
      <xdr:rowOff>9525</xdr:rowOff>
    </xdr:from>
    <xdr:to>
      <xdr:col>2</xdr:col>
      <xdr:colOff>638175</xdr:colOff>
      <xdr:row>851</xdr:row>
      <xdr:rowOff>581025</xdr:rowOff>
    </xdr:to>
    <xdr:pic>
      <xdr:nvPicPr>
        <xdr:cNvPr id="1856" name="Рисунок 832"/>
        <xdr:cNvPicPr>
          <a:picLocks noChangeAspect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1095375" y="337851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852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57" name="Рисунок 833"/>
        <xdr:cNvPicPr>
          <a:picLocks noChangeAspect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853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58" name="Рисунок 834"/>
        <xdr:cNvPicPr>
          <a:picLocks noChangeAspect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854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59" name="Рисунок 835"/>
        <xdr:cNvPicPr>
          <a:picLocks noChangeAspect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856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0" name="Рисунок 836"/>
        <xdr:cNvPicPr>
          <a:picLocks noChangeAspect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857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1" name="Рисунок 837"/>
        <xdr:cNvPicPr>
          <a:picLocks noChangeAspect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858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2" name="Рисунок 838"/>
        <xdr:cNvPicPr>
          <a:picLocks noChangeAspect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859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3" name="Рисунок 839"/>
        <xdr:cNvPicPr>
          <a:picLocks noChangeAspect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860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4" name="Рисунок 840"/>
        <xdr:cNvPicPr>
          <a:picLocks noChangeAspect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861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5" name="Рисунок 841"/>
        <xdr:cNvPicPr>
          <a:picLocks noChangeAspect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862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6" name="Рисунок 842"/>
        <xdr:cNvPicPr>
          <a:picLocks noChangeAspect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863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7" name="Рисунок 843"/>
        <xdr:cNvPicPr>
          <a:picLocks noChangeAspect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864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8" name="Рисунок 844"/>
        <xdr:cNvPicPr>
          <a:picLocks noChangeAspect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865</xdr:row>
      <xdr:rowOff>9525</xdr:rowOff>
    </xdr:from>
    <xdr:to>
      <xdr:col>2</xdr:col>
      <xdr:colOff>638175</xdr:colOff>
      <xdr:row>866</xdr:row>
      <xdr:rowOff>571500</xdr:rowOff>
    </xdr:to>
    <xdr:pic>
      <xdr:nvPicPr>
        <xdr:cNvPr id="1869" name="Рисунок 845"/>
        <xdr:cNvPicPr>
          <a:picLocks noChangeAspect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1095375" y="343662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866</xdr:row>
      <xdr:rowOff>9525</xdr:rowOff>
    </xdr:from>
    <xdr:to>
      <xdr:col>2</xdr:col>
      <xdr:colOff>638175</xdr:colOff>
      <xdr:row>866</xdr:row>
      <xdr:rowOff>581025</xdr:rowOff>
    </xdr:to>
    <xdr:pic>
      <xdr:nvPicPr>
        <xdr:cNvPr id="1870" name="Рисунок 846"/>
        <xdr:cNvPicPr>
          <a:picLocks noChangeAspect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1095375" y="343757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867</xdr:row>
      <xdr:rowOff>9525</xdr:rowOff>
    </xdr:from>
    <xdr:to>
      <xdr:col>2</xdr:col>
      <xdr:colOff>638175</xdr:colOff>
      <xdr:row>869</xdr:row>
      <xdr:rowOff>571500</xdr:rowOff>
    </xdr:to>
    <xdr:pic>
      <xdr:nvPicPr>
        <xdr:cNvPr id="1871" name="Рисунок 847"/>
        <xdr:cNvPicPr>
          <a:picLocks noChangeAspect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1095375" y="34956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868</xdr:row>
      <xdr:rowOff>9525</xdr:rowOff>
    </xdr:from>
    <xdr:to>
      <xdr:col>2</xdr:col>
      <xdr:colOff>638175</xdr:colOff>
      <xdr:row>869</xdr:row>
      <xdr:rowOff>571500</xdr:rowOff>
    </xdr:to>
    <xdr:pic>
      <xdr:nvPicPr>
        <xdr:cNvPr id="1872" name="Рисунок 848"/>
        <xdr:cNvPicPr>
          <a:picLocks noChangeAspect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1095375" y="349567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869</xdr:row>
      <xdr:rowOff>9525</xdr:rowOff>
    </xdr:from>
    <xdr:to>
      <xdr:col>2</xdr:col>
      <xdr:colOff>638175</xdr:colOff>
      <xdr:row>869</xdr:row>
      <xdr:rowOff>581025</xdr:rowOff>
    </xdr:to>
    <xdr:pic>
      <xdr:nvPicPr>
        <xdr:cNvPr id="1873" name="Рисунок 849"/>
        <xdr:cNvPicPr>
          <a:picLocks noChangeAspect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095375" y="349662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870</xdr:row>
      <xdr:rowOff>9525</xdr:rowOff>
    </xdr:from>
    <xdr:to>
      <xdr:col>2</xdr:col>
      <xdr:colOff>638175</xdr:colOff>
      <xdr:row>876</xdr:row>
      <xdr:rowOff>571500</xdr:rowOff>
    </xdr:to>
    <xdr:pic>
      <xdr:nvPicPr>
        <xdr:cNvPr id="1874" name="Рисунок 850"/>
        <xdr:cNvPicPr>
          <a:picLocks noChangeAspect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1095375" y="355473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871</xdr:row>
      <xdr:rowOff>9525</xdr:rowOff>
    </xdr:from>
    <xdr:to>
      <xdr:col>2</xdr:col>
      <xdr:colOff>638175</xdr:colOff>
      <xdr:row>876</xdr:row>
      <xdr:rowOff>571500</xdr:rowOff>
    </xdr:to>
    <xdr:pic>
      <xdr:nvPicPr>
        <xdr:cNvPr id="1875" name="Рисунок 851"/>
        <xdr:cNvPicPr>
          <a:picLocks noChangeAspect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1095375" y="355473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872</xdr:row>
      <xdr:rowOff>9525</xdr:rowOff>
    </xdr:from>
    <xdr:to>
      <xdr:col>2</xdr:col>
      <xdr:colOff>638175</xdr:colOff>
      <xdr:row>876</xdr:row>
      <xdr:rowOff>571500</xdr:rowOff>
    </xdr:to>
    <xdr:pic>
      <xdr:nvPicPr>
        <xdr:cNvPr id="1876" name="Рисунок 852"/>
        <xdr:cNvPicPr>
          <a:picLocks noChangeAspect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1095375" y="355473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873</xdr:row>
      <xdr:rowOff>9525</xdr:rowOff>
    </xdr:from>
    <xdr:to>
      <xdr:col>2</xdr:col>
      <xdr:colOff>638175</xdr:colOff>
      <xdr:row>876</xdr:row>
      <xdr:rowOff>571500</xdr:rowOff>
    </xdr:to>
    <xdr:pic>
      <xdr:nvPicPr>
        <xdr:cNvPr id="1877" name="Рисунок 853"/>
        <xdr:cNvPicPr>
          <a:picLocks noChangeAspect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1095375" y="355473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874</xdr:row>
      <xdr:rowOff>9525</xdr:rowOff>
    </xdr:from>
    <xdr:to>
      <xdr:col>2</xdr:col>
      <xdr:colOff>638175</xdr:colOff>
      <xdr:row>876</xdr:row>
      <xdr:rowOff>571500</xdr:rowOff>
    </xdr:to>
    <xdr:pic>
      <xdr:nvPicPr>
        <xdr:cNvPr id="1878" name="Рисунок 854"/>
        <xdr:cNvPicPr>
          <a:picLocks noChangeAspect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1095375" y="355473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875</xdr:row>
      <xdr:rowOff>9525</xdr:rowOff>
    </xdr:from>
    <xdr:to>
      <xdr:col>2</xdr:col>
      <xdr:colOff>638175</xdr:colOff>
      <xdr:row>876</xdr:row>
      <xdr:rowOff>571500</xdr:rowOff>
    </xdr:to>
    <xdr:pic>
      <xdr:nvPicPr>
        <xdr:cNvPr id="1879" name="Рисунок 855"/>
        <xdr:cNvPicPr>
          <a:picLocks noChangeAspect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1095375" y="355473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876</xdr:row>
      <xdr:rowOff>9525</xdr:rowOff>
    </xdr:from>
    <xdr:to>
      <xdr:col>2</xdr:col>
      <xdr:colOff>638175</xdr:colOff>
      <xdr:row>876</xdr:row>
      <xdr:rowOff>581025</xdr:rowOff>
    </xdr:to>
    <xdr:pic>
      <xdr:nvPicPr>
        <xdr:cNvPr id="1880" name="Рисунок 856"/>
        <xdr:cNvPicPr>
          <a:picLocks noChangeAspect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1095375" y="355568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877</xdr:row>
      <xdr:rowOff>9525</xdr:rowOff>
    </xdr:from>
    <xdr:to>
      <xdr:col>2</xdr:col>
      <xdr:colOff>638175</xdr:colOff>
      <xdr:row>878</xdr:row>
      <xdr:rowOff>571500</xdr:rowOff>
    </xdr:to>
    <xdr:pic>
      <xdr:nvPicPr>
        <xdr:cNvPr id="1881" name="Рисунок 857"/>
        <xdr:cNvPicPr>
          <a:picLocks noChangeAspect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095375" y="361378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878</xdr:row>
      <xdr:rowOff>9525</xdr:rowOff>
    </xdr:from>
    <xdr:to>
      <xdr:col>2</xdr:col>
      <xdr:colOff>638175</xdr:colOff>
      <xdr:row>878</xdr:row>
      <xdr:rowOff>581025</xdr:rowOff>
    </xdr:to>
    <xdr:pic>
      <xdr:nvPicPr>
        <xdr:cNvPr id="1882" name="Рисунок 858"/>
        <xdr:cNvPicPr>
          <a:picLocks noChangeAspect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095375" y="361473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879</xdr:row>
      <xdr:rowOff>9525</xdr:rowOff>
    </xdr:from>
    <xdr:to>
      <xdr:col>2</xdr:col>
      <xdr:colOff>638175</xdr:colOff>
      <xdr:row>880</xdr:row>
      <xdr:rowOff>571500</xdr:rowOff>
    </xdr:to>
    <xdr:pic>
      <xdr:nvPicPr>
        <xdr:cNvPr id="1883" name="Рисунок 859"/>
        <xdr:cNvPicPr>
          <a:picLocks noChangeAspect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095375" y="367284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880</xdr:row>
      <xdr:rowOff>9525</xdr:rowOff>
    </xdr:from>
    <xdr:to>
      <xdr:col>2</xdr:col>
      <xdr:colOff>638175</xdr:colOff>
      <xdr:row>880</xdr:row>
      <xdr:rowOff>581025</xdr:rowOff>
    </xdr:to>
    <xdr:pic>
      <xdr:nvPicPr>
        <xdr:cNvPr id="1884" name="Рисунок 860"/>
        <xdr:cNvPicPr>
          <a:picLocks noChangeAspect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1095375" y="367379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881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85" name="Рисунок 861"/>
        <xdr:cNvPicPr>
          <a:picLocks noChangeAspect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882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86" name="Рисунок 862"/>
        <xdr:cNvPicPr>
          <a:picLocks noChangeAspect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883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87" name="Рисунок 863"/>
        <xdr:cNvPicPr>
          <a:picLocks noChangeAspect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884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88" name="Рисунок 864"/>
        <xdr:cNvPicPr>
          <a:picLocks noChangeAspect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885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89" name="Рисунок 865"/>
        <xdr:cNvPicPr>
          <a:picLocks noChangeAspect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886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90" name="Рисунок 866"/>
        <xdr:cNvPicPr>
          <a:picLocks noChangeAspect="1"/>
        </xdr:cNvPicPr>
      </xdr:nvPicPr>
      <xdr:blipFill>
        <a:blip xmlns:r="http://schemas.openxmlformats.org/officeDocument/2006/relationships" r:embed="rId816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887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91" name="Рисунок 867"/>
        <xdr:cNvPicPr>
          <a:picLocks noChangeAspect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888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92" name="Рисунок 868"/>
        <xdr:cNvPicPr>
          <a:picLocks noChangeAspect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889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93" name="Рисунок 869"/>
        <xdr:cNvPicPr>
          <a:picLocks noChangeAspect="1"/>
        </xdr:cNvPicPr>
      </xdr:nvPicPr>
      <xdr:blipFill>
        <a:blip xmlns:r="http://schemas.openxmlformats.org/officeDocument/2006/relationships" r:embed="rId818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890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94" name="Рисунок 870"/>
        <xdr:cNvPicPr>
          <a:picLocks noChangeAspect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891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95" name="Рисунок 871"/>
        <xdr:cNvPicPr>
          <a:picLocks noChangeAspect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892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96" name="Рисунок 872"/>
        <xdr:cNvPicPr>
          <a:picLocks noChangeAspect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893</xdr:row>
      <xdr:rowOff>9525</xdr:rowOff>
    </xdr:from>
    <xdr:to>
      <xdr:col>2</xdr:col>
      <xdr:colOff>666750</xdr:colOff>
      <xdr:row>895</xdr:row>
      <xdr:rowOff>571500</xdr:rowOff>
    </xdr:to>
    <xdr:pic>
      <xdr:nvPicPr>
        <xdr:cNvPr id="1897" name="Рисунок 873"/>
        <xdr:cNvPicPr>
          <a:picLocks noChangeAspect="1"/>
        </xdr:cNvPicPr>
      </xdr:nvPicPr>
      <xdr:blipFill>
        <a:blip xmlns:r="http://schemas.openxmlformats.org/officeDocument/2006/relationships" r:embed="rId820" cstate="print"/>
        <a:srcRect/>
        <a:stretch>
          <a:fillRect/>
        </a:stretch>
      </xdr:blipFill>
      <xdr:spPr bwMode="auto">
        <a:xfrm>
          <a:off x="1066800" y="37318950"/>
          <a:ext cx="6286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894</xdr:row>
      <xdr:rowOff>9525</xdr:rowOff>
    </xdr:from>
    <xdr:to>
      <xdr:col>2</xdr:col>
      <xdr:colOff>638175</xdr:colOff>
      <xdr:row>895</xdr:row>
      <xdr:rowOff>571500</xdr:rowOff>
    </xdr:to>
    <xdr:pic>
      <xdr:nvPicPr>
        <xdr:cNvPr id="1898" name="Рисунок 874"/>
        <xdr:cNvPicPr>
          <a:picLocks noChangeAspect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1095375" y="373189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895</xdr:row>
      <xdr:rowOff>9525</xdr:rowOff>
    </xdr:from>
    <xdr:to>
      <xdr:col>2</xdr:col>
      <xdr:colOff>638175</xdr:colOff>
      <xdr:row>895</xdr:row>
      <xdr:rowOff>581025</xdr:rowOff>
    </xdr:to>
    <xdr:pic>
      <xdr:nvPicPr>
        <xdr:cNvPr id="1899" name="Рисунок 875"/>
        <xdr:cNvPicPr>
          <a:picLocks noChangeAspect="1"/>
        </xdr:cNvPicPr>
      </xdr:nvPicPr>
      <xdr:blipFill>
        <a:blip xmlns:r="http://schemas.openxmlformats.org/officeDocument/2006/relationships" r:embed="rId822" cstate="print"/>
        <a:srcRect/>
        <a:stretch>
          <a:fillRect/>
        </a:stretch>
      </xdr:blipFill>
      <xdr:spPr bwMode="auto">
        <a:xfrm>
          <a:off x="1095375" y="373284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896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00" name="Рисунок 876"/>
        <xdr:cNvPicPr>
          <a:picLocks noChangeAspect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897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01" name="Рисунок 877"/>
        <xdr:cNvPicPr>
          <a:picLocks noChangeAspect="1"/>
        </xdr:cNvPicPr>
      </xdr:nvPicPr>
      <xdr:blipFill>
        <a:blip xmlns:r="http://schemas.openxmlformats.org/officeDocument/2006/relationships" r:embed="rId824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898</xdr:row>
      <xdr:rowOff>47625</xdr:rowOff>
    </xdr:from>
    <xdr:to>
      <xdr:col>3</xdr:col>
      <xdr:colOff>0</xdr:colOff>
      <xdr:row>953</xdr:row>
      <xdr:rowOff>457200</xdr:rowOff>
    </xdr:to>
    <xdr:pic>
      <xdr:nvPicPr>
        <xdr:cNvPr id="1902" name="Рисунок 878"/>
        <xdr:cNvPicPr>
          <a:picLocks noChangeAspect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1038225" y="379095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899</xdr:row>
      <xdr:rowOff>47625</xdr:rowOff>
    </xdr:from>
    <xdr:to>
      <xdr:col>3</xdr:col>
      <xdr:colOff>0</xdr:colOff>
      <xdr:row>953</xdr:row>
      <xdr:rowOff>457200</xdr:rowOff>
    </xdr:to>
    <xdr:pic>
      <xdr:nvPicPr>
        <xdr:cNvPr id="1903" name="Рисунок 879"/>
        <xdr:cNvPicPr>
          <a:picLocks noChangeAspect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1038225" y="379095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900</xdr:row>
      <xdr:rowOff>47625</xdr:rowOff>
    </xdr:from>
    <xdr:to>
      <xdr:col>3</xdr:col>
      <xdr:colOff>0</xdr:colOff>
      <xdr:row>953</xdr:row>
      <xdr:rowOff>457200</xdr:rowOff>
    </xdr:to>
    <xdr:pic>
      <xdr:nvPicPr>
        <xdr:cNvPr id="1904" name="Рисунок 880"/>
        <xdr:cNvPicPr>
          <a:picLocks noChangeAspect="1"/>
        </xdr:cNvPicPr>
      </xdr:nvPicPr>
      <xdr:blipFill>
        <a:blip xmlns:r="http://schemas.openxmlformats.org/officeDocument/2006/relationships" r:embed="rId826" cstate="print"/>
        <a:srcRect/>
        <a:stretch>
          <a:fillRect/>
        </a:stretch>
      </xdr:blipFill>
      <xdr:spPr bwMode="auto">
        <a:xfrm>
          <a:off x="1038225" y="379095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901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05" name="Рисунок 881"/>
        <xdr:cNvPicPr>
          <a:picLocks noChangeAspect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902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06" name="Рисунок 882"/>
        <xdr:cNvPicPr>
          <a:picLocks noChangeAspect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903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07" name="Рисунок 883"/>
        <xdr:cNvPicPr>
          <a:picLocks noChangeAspect="1"/>
        </xdr:cNvPicPr>
      </xdr:nvPicPr>
      <xdr:blipFill>
        <a:blip xmlns:r="http://schemas.openxmlformats.org/officeDocument/2006/relationships" r:embed="rId828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904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08" name="Рисунок 884"/>
        <xdr:cNvPicPr>
          <a:picLocks noChangeAspect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905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09" name="Рисунок 885"/>
        <xdr:cNvPicPr>
          <a:picLocks noChangeAspect="1"/>
        </xdr:cNvPicPr>
      </xdr:nvPicPr>
      <xdr:blipFill>
        <a:blip xmlns:r="http://schemas.openxmlformats.org/officeDocument/2006/relationships" r:embed="rId830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906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0" name="Рисунок 886"/>
        <xdr:cNvPicPr>
          <a:picLocks noChangeAspect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907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1" name="Рисунок 887"/>
        <xdr:cNvPicPr>
          <a:picLocks noChangeAspect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908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2" name="Рисунок 888"/>
        <xdr:cNvPicPr>
          <a:picLocks noChangeAspect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909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3" name="Рисунок 889"/>
        <xdr:cNvPicPr>
          <a:picLocks noChangeAspect="1"/>
        </xdr:cNvPicPr>
      </xdr:nvPicPr>
      <xdr:blipFill>
        <a:blip xmlns:r="http://schemas.openxmlformats.org/officeDocument/2006/relationships" r:embed="rId832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910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4" name="Рисунок 890"/>
        <xdr:cNvPicPr>
          <a:picLocks noChangeAspect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911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5" name="Рисунок 891"/>
        <xdr:cNvPicPr>
          <a:picLocks noChangeAspect="1"/>
        </xdr:cNvPicPr>
      </xdr:nvPicPr>
      <xdr:blipFill>
        <a:blip xmlns:r="http://schemas.openxmlformats.org/officeDocument/2006/relationships" r:embed="rId834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912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6" name="Рисунок 892"/>
        <xdr:cNvPicPr>
          <a:picLocks noChangeAspect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913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7" name="Рисунок 893"/>
        <xdr:cNvPicPr>
          <a:picLocks noChangeAspect="1"/>
        </xdr:cNvPicPr>
      </xdr:nvPicPr>
      <xdr:blipFill>
        <a:blip xmlns:r="http://schemas.openxmlformats.org/officeDocument/2006/relationships" r:embed="rId836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914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8" name="Рисунок 894"/>
        <xdr:cNvPicPr>
          <a:picLocks noChangeAspect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915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19" name="Рисунок 895"/>
        <xdr:cNvPicPr>
          <a:picLocks noChangeAspect="1"/>
        </xdr:cNvPicPr>
      </xdr:nvPicPr>
      <xdr:blipFill>
        <a:blip xmlns:r="http://schemas.openxmlformats.org/officeDocument/2006/relationships" r:embed="rId838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916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0" name="Рисунок 896"/>
        <xdr:cNvPicPr>
          <a:picLocks noChangeAspect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917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1" name="Рисунок 897"/>
        <xdr:cNvPicPr>
          <a:picLocks noChangeAspect="1"/>
        </xdr:cNvPicPr>
      </xdr:nvPicPr>
      <xdr:blipFill>
        <a:blip xmlns:r="http://schemas.openxmlformats.org/officeDocument/2006/relationships" r:embed="rId840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918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2" name="Рисунок 898"/>
        <xdr:cNvPicPr>
          <a:picLocks noChangeAspect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919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3" name="Рисунок 899"/>
        <xdr:cNvPicPr>
          <a:picLocks noChangeAspect="1"/>
        </xdr:cNvPicPr>
      </xdr:nvPicPr>
      <xdr:blipFill>
        <a:blip xmlns:r="http://schemas.openxmlformats.org/officeDocument/2006/relationships" r:embed="rId842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920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4" name="Рисунок 900"/>
        <xdr:cNvPicPr>
          <a:picLocks noChangeAspect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921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5" name="Рисунок 901"/>
        <xdr:cNvPicPr>
          <a:picLocks noChangeAspect="1"/>
        </xdr:cNvPicPr>
      </xdr:nvPicPr>
      <xdr:blipFill>
        <a:blip xmlns:r="http://schemas.openxmlformats.org/officeDocument/2006/relationships" r:embed="rId844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922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6" name="Рисунок 902"/>
        <xdr:cNvPicPr>
          <a:picLocks noChangeAspect="1"/>
        </xdr:cNvPicPr>
      </xdr:nvPicPr>
      <xdr:blipFill>
        <a:blip xmlns:r="http://schemas.openxmlformats.org/officeDocument/2006/relationships" r:embed="rId844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923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7" name="Рисунок 903"/>
        <xdr:cNvPicPr>
          <a:picLocks noChangeAspect="1"/>
        </xdr:cNvPicPr>
      </xdr:nvPicPr>
      <xdr:blipFill>
        <a:blip xmlns:r="http://schemas.openxmlformats.org/officeDocument/2006/relationships" r:embed="rId844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924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8" name="Рисунок 904"/>
        <xdr:cNvPicPr>
          <a:picLocks noChangeAspect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925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29" name="Рисунок 905"/>
        <xdr:cNvPicPr>
          <a:picLocks noChangeAspect="1"/>
        </xdr:cNvPicPr>
      </xdr:nvPicPr>
      <xdr:blipFill>
        <a:blip xmlns:r="http://schemas.openxmlformats.org/officeDocument/2006/relationships" r:embed="rId846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926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0" name="Рисунок 906"/>
        <xdr:cNvPicPr>
          <a:picLocks noChangeAspect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927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1" name="Рисунок 907"/>
        <xdr:cNvPicPr>
          <a:picLocks noChangeAspect="1"/>
        </xdr:cNvPicPr>
      </xdr:nvPicPr>
      <xdr:blipFill>
        <a:blip xmlns:r="http://schemas.openxmlformats.org/officeDocument/2006/relationships" r:embed="rId848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928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2" name="Рисунок 908"/>
        <xdr:cNvPicPr>
          <a:picLocks noChangeAspect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929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3" name="Рисунок 909"/>
        <xdr:cNvPicPr>
          <a:picLocks noChangeAspect="1"/>
        </xdr:cNvPicPr>
      </xdr:nvPicPr>
      <xdr:blipFill>
        <a:blip xmlns:r="http://schemas.openxmlformats.org/officeDocument/2006/relationships" r:embed="rId850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930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4" name="Рисунок 910"/>
        <xdr:cNvPicPr>
          <a:picLocks noChangeAspect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931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5" name="Рисунок 911"/>
        <xdr:cNvPicPr>
          <a:picLocks noChangeAspect="1"/>
        </xdr:cNvPicPr>
      </xdr:nvPicPr>
      <xdr:blipFill>
        <a:blip xmlns:r="http://schemas.openxmlformats.org/officeDocument/2006/relationships" r:embed="rId852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932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6" name="Рисунок 912"/>
        <xdr:cNvPicPr>
          <a:picLocks noChangeAspect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933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7" name="Рисунок 913"/>
        <xdr:cNvPicPr>
          <a:picLocks noChangeAspect="1"/>
        </xdr:cNvPicPr>
      </xdr:nvPicPr>
      <xdr:blipFill>
        <a:blip xmlns:r="http://schemas.openxmlformats.org/officeDocument/2006/relationships" r:embed="rId854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934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8" name="Рисунок 914"/>
        <xdr:cNvPicPr>
          <a:picLocks noChangeAspect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935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39" name="Рисунок 915"/>
        <xdr:cNvPicPr>
          <a:picLocks noChangeAspect="1"/>
        </xdr:cNvPicPr>
      </xdr:nvPicPr>
      <xdr:blipFill>
        <a:blip xmlns:r="http://schemas.openxmlformats.org/officeDocument/2006/relationships" r:embed="rId856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936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0" name="Рисунок 916"/>
        <xdr:cNvPicPr>
          <a:picLocks noChangeAspect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937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1" name="Рисунок 917"/>
        <xdr:cNvPicPr>
          <a:picLocks noChangeAspect="1"/>
        </xdr:cNvPicPr>
      </xdr:nvPicPr>
      <xdr:blipFill>
        <a:blip xmlns:r="http://schemas.openxmlformats.org/officeDocument/2006/relationships" r:embed="rId858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938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2" name="Рисунок 918"/>
        <xdr:cNvPicPr>
          <a:picLocks noChangeAspect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939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3" name="Рисунок 919"/>
        <xdr:cNvPicPr>
          <a:picLocks noChangeAspect="1"/>
        </xdr:cNvPicPr>
      </xdr:nvPicPr>
      <xdr:blipFill>
        <a:blip xmlns:r="http://schemas.openxmlformats.org/officeDocument/2006/relationships" r:embed="rId860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940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4" name="Рисунок 920"/>
        <xdr:cNvPicPr>
          <a:picLocks noChangeAspect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941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5" name="Рисунок 921"/>
        <xdr:cNvPicPr>
          <a:picLocks noChangeAspect="1"/>
        </xdr:cNvPicPr>
      </xdr:nvPicPr>
      <xdr:blipFill>
        <a:blip xmlns:r="http://schemas.openxmlformats.org/officeDocument/2006/relationships" r:embed="rId862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942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6" name="Рисунок 922"/>
        <xdr:cNvPicPr>
          <a:picLocks noChangeAspect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943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7" name="Рисунок 923"/>
        <xdr:cNvPicPr>
          <a:picLocks noChangeAspect="1"/>
        </xdr:cNvPicPr>
      </xdr:nvPicPr>
      <xdr:blipFill>
        <a:blip xmlns:r="http://schemas.openxmlformats.org/officeDocument/2006/relationships" r:embed="rId864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944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8" name="Рисунок 924"/>
        <xdr:cNvPicPr>
          <a:picLocks noChangeAspect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945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49" name="Рисунок 925"/>
        <xdr:cNvPicPr>
          <a:picLocks noChangeAspect="1"/>
        </xdr:cNvPicPr>
      </xdr:nvPicPr>
      <xdr:blipFill>
        <a:blip xmlns:r="http://schemas.openxmlformats.org/officeDocument/2006/relationships" r:embed="rId866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946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50" name="Рисунок 926"/>
        <xdr:cNvPicPr>
          <a:picLocks noChangeAspect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947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51" name="Рисунок 927"/>
        <xdr:cNvPicPr>
          <a:picLocks noChangeAspect="1"/>
        </xdr:cNvPicPr>
      </xdr:nvPicPr>
      <xdr:blipFill>
        <a:blip xmlns:r="http://schemas.openxmlformats.org/officeDocument/2006/relationships" r:embed="rId868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948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52" name="Рисунок 928"/>
        <xdr:cNvPicPr>
          <a:picLocks noChangeAspect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949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53" name="Рисунок 929"/>
        <xdr:cNvPicPr>
          <a:picLocks noChangeAspect="1"/>
        </xdr:cNvPicPr>
      </xdr:nvPicPr>
      <xdr:blipFill>
        <a:blip xmlns:r="http://schemas.openxmlformats.org/officeDocument/2006/relationships" r:embed="rId870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950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54" name="Рисунок 930"/>
        <xdr:cNvPicPr>
          <a:picLocks noChangeAspect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951</xdr:row>
      <xdr:rowOff>9525</xdr:rowOff>
    </xdr:from>
    <xdr:to>
      <xdr:col>2</xdr:col>
      <xdr:colOff>638175</xdr:colOff>
      <xdr:row>953</xdr:row>
      <xdr:rowOff>571500</xdr:rowOff>
    </xdr:to>
    <xdr:pic>
      <xdr:nvPicPr>
        <xdr:cNvPr id="1955" name="Рисунок 931"/>
        <xdr:cNvPicPr>
          <a:picLocks noChangeAspect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1095375" y="379095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952</xdr:row>
      <xdr:rowOff>57150</xdr:rowOff>
    </xdr:from>
    <xdr:to>
      <xdr:col>3</xdr:col>
      <xdr:colOff>0</xdr:colOff>
      <xdr:row>953</xdr:row>
      <xdr:rowOff>457200</xdr:rowOff>
    </xdr:to>
    <xdr:pic>
      <xdr:nvPicPr>
        <xdr:cNvPr id="1956" name="Рисунок 932"/>
        <xdr:cNvPicPr>
          <a:picLocks noChangeAspect="1"/>
        </xdr:cNvPicPr>
      </xdr:nvPicPr>
      <xdr:blipFill>
        <a:blip xmlns:r="http://schemas.openxmlformats.org/officeDocument/2006/relationships" r:embed="rId872" cstate="print"/>
        <a:srcRect/>
        <a:stretch>
          <a:fillRect/>
        </a:stretch>
      </xdr:blipFill>
      <xdr:spPr bwMode="auto">
        <a:xfrm>
          <a:off x="1038225" y="379095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953</xdr:row>
      <xdr:rowOff>9525</xdr:rowOff>
    </xdr:from>
    <xdr:to>
      <xdr:col>2</xdr:col>
      <xdr:colOff>638175</xdr:colOff>
      <xdr:row>953</xdr:row>
      <xdr:rowOff>581025</xdr:rowOff>
    </xdr:to>
    <xdr:pic>
      <xdr:nvPicPr>
        <xdr:cNvPr id="1957" name="Рисунок 933"/>
        <xdr:cNvPicPr>
          <a:picLocks noChangeAspect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1095375" y="379190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955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58" name="Рисунок 934"/>
        <xdr:cNvPicPr>
          <a:picLocks noChangeAspect="1"/>
        </xdr:cNvPicPr>
      </xdr:nvPicPr>
      <xdr:blipFill>
        <a:blip xmlns:r="http://schemas.openxmlformats.org/officeDocument/2006/relationships" r:embed="rId874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956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59" name="Рисунок 935"/>
        <xdr:cNvPicPr>
          <a:picLocks noChangeAspect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957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0" name="Рисунок 936"/>
        <xdr:cNvPicPr>
          <a:picLocks noChangeAspect="1"/>
        </xdr:cNvPicPr>
      </xdr:nvPicPr>
      <xdr:blipFill>
        <a:blip xmlns:r="http://schemas.openxmlformats.org/officeDocument/2006/relationships" r:embed="rId876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958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1" name="Рисунок 937"/>
        <xdr:cNvPicPr>
          <a:picLocks noChangeAspect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959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2" name="Рисунок 938"/>
        <xdr:cNvPicPr>
          <a:picLocks noChangeAspect="1"/>
        </xdr:cNvPicPr>
      </xdr:nvPicPr>
      <xdr:blipFill>
        <a:blip xmlns:r="http://schemas.openxmlformats.org/officeDocument/2006/relationships" r:embed="rId878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960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3" name="Рисунок 939"/>
        <xdr:cNvPicPr>
          <a:picLocks noChangeAspect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961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4" name="Рисунок 940"/>
        <xdr:cNvPicPr>
          <a:picLocks noChangeAspect="1"/>
        </xdr:cNvPicPr>
      </xdr:nvPicPr>
      <xdr:blipFill>
        <a:blip xmlns:r="http://schemas.openxmlformats.org/officeDocument/2006/relationships" r:embed="rId880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962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5" name="Рисунок 941"/>
        <xdr:cNvPicPr>
          <a:picLocks noChangeAspect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963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6" name="Рисунок 942"/>
        <xdr:cNvPicPr>
          <a:picLocks noChangeAspect="1"/>
        </xdr:cNvPicPr>
      </xdr:nvPicPr>
      <xdr:blipFill>
        <a:blip xmlns:r="http://schemas.openxmlformats.org/officeDocument/2006/relationships" r:embed="rId882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964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7" name="Рисунок 943"/>
        <xdr:cNvPicPr>
          <a:picLocks noChangeAspect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965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8" name="Рисунок 944"/>
        <xdr:cNvPicPr>
          <a:picLocks noChangeAspect="1"/>
        </xdr:cNvPicPr>
      </xdr:nvPicPr>
      <xdr:blipFill>
        <a:blip xmlns:r="http://schemas.openxmlformats.org/officeDocument/2006/relationships" r:embed="rId884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966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69" name="Рисунок 945"/>
        <xdr:cNvPicPr>
          <a:picLocks noChangeAspect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967</xdr:row>
      <xdr:rowOff>9525</xdr:rowOff>
    </xdr:from>
    <xdr:to>
      <xdr:col>2</xdr:col>
      <xdr:colOff>638175</xdr:colOff>
      <xdr:row>968</xdr:row>
      <xdr:rowOff>571500</xdr:rowOff>
    </xdr:to>
    <xdr:pic>
      <xdr:nvPicPr>
        <xdr:cNvPr id="1970" name="Рисунок 946"/>
        <xdr:cNvPicPr>
          <a:picLocks noChangeAspect="1"/>
        </xdr:cNvPicPr>
      </xdr:nvPicPr>
      <xdr:blipFill>
        <a:blip xmlns:r="http://schemas.openxmlformats.org/officeDocument/2006/relationships" r:embed="rId886" cstate="print"/>
        <a:srcRect/>
        <a:stretch>
          <a:fillRect/>
        </a:stretch>
      </xdr:blipFill>
      <xdr:spPr bwMode="auto">
        <a:xfrm>
          <a:off x="1095375" y="385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968</xdr:row>
      <xdr:rowOff>9525</xdr:rowOff>
    </xdr:from>
    <xdr:to>
      <xdr:col>2</xdr:col>
      <xdr:colOff>638175</xdr:colOff>
      <xdr:row>968</xdr:row>
      <xdr:rowOff>581025</xdr:rowOff>
    </xdr:to>
    <xdr:pic>
      <xdr:nvPicPr>
        <xdr:cNvPr id="1971" name="Рисунок 947"/>
        <xdr:cNvPicPr>
          <a:picLocks noChangeAspect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1095375" y="385095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969</xdr:row>
      <xdr:rowOff>9525</xdr:rowOff>
    </xdr:from>
    <xdr:to>
      <xdr:col>2</xdr:col>
      <xdr:colOff>638175</xdr:colOff>
      <xdr:row>970</xdr:row>
      <xdr:rowOff>571500</xdr:rowOff>
    </xdr:to>
    <xdr:pic>
      <xdr:nvPicPr>
        <xdr:cNvPr id="1972" name="Рисунок 948"/>
        <xdr:cNvPicPr>
          <a:picLocks noChangeAspect="1"/>
        </xdr:cNvPicPr>
      </xdr:nvPicPr>
      <xdr:blipFill>
        <a:blip xmlns:r="http://schemas.openxmlformats.org/officeDocument/2006/relationships" r:embed="rId888" cstate="print"/>
        <a:srcRect/>
        <a:stretch>
          <a:fillRect/>
        </a:stretch>
      </xdr:blipFill>
      <xdr:spPr bwMode="auto">
        <a:xfrm>
          <a:off x="1095375" y="390906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970</xdr:row>
      <xdr:rowOff>9525</xdr:rowOff>
    </xdr:from>
    <xdr:to>
      <xdr:col>2</xdr:col>
      <xdr:colOff>638175</xdr:colOff>
      <xdr:row>970</xdr:row>
      <xdr:rowOff>581025</xdr:rowOff>
    </xdr:to>
    <xdr:pic>
      <xdr:nvPicPr>
        <xdr:cNvPr id="1973" name="Рисунок 949"/>
        <xdr:cNvPicPr>
          <a:picLocks noChangeAspect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1095375" y="391001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971</xdr:row>
      <xdr:rowOff>9525</xdr:rowOff>
    </xdr:from>
    <xdr:to>
      <xdr:col>2</xdr:col>
      <xdr:colOff>638175</xdr:colOff>
      <xdr:row>973</xdr:row>
      <xdr:rowOff>571500</xdr:rowOff>
    </xdr:to>
    <xdr:pic>
      <xdr:nvPicPr>
        <xdr:cNvPr id="1974" name="Рисунок 950"/>
        <xdr:cNvPicPr>
          <a:picLocks noChangeAspect="1"/>
        </xdr:cNvPicPr>
      </xdr:nvPicPr>
      <xdr:blipFill>
        <a:blip xmlns:r="http://schemas.openxmlformats.org/officeDocument/2006/relationships" r:embed="rId890" cstate="print"/>
        <a:srcRect/>
        <a:stretch>
          <a:fillRect/>
        </a:stretch>
      </xdr:blipFill>
      <xdr:spPr bwMode="auto">
        <a:xfrm>
          <a:off x="1095375" y="39681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972</xdr:row>
      <xdr:rowOff>9525</xdr:rowOff>
    </xdr:from>
    <xdr:to>
      <xdr:col>2</xdr:col>
      <xdr:colOff>638175</xdr:colOff>
      <xdr:row>973</xdr:row>
      <xdr:rowOff>571500</xdr:rowOff>
    </xdr:to>
    <xdr:pic>
      <xdr:nvPicPr>
        <xdr:cNvPr id="1975" name="Рисунок 951"/>
        <xdr:cNvPicPr>
          <a:picLocks noChangeAspect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1095375" y="396811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973</xdr:row>
      <xdr:rowOff>9525</xdr:rowOff>
    </xdr:from>
    <xdr:to>
      <xdr:col>2</xdr:col>
      <xdr:colOff>638175</xdr:colOff>
      <xdr:row>973</xdr:row>
      <xdr:rowOff>581025</xdr:rowOff>
    </xdr:to>
    <xdr:pic>
      <xdr:nvPicPr>
        <xdr:cNvPr id="1976" name="Рисунок 952"/>
        <xdr:cNvPicPr>
          <a:picLocks noChangeAspect="1"/>
        </xdr:cNvPicPr>
      </xdr:nvPicPr>
      <xdr:blipFill>
        <a:blip xmlns:r="http://schemas.openxmlformats.org/officeDocument/2006/relationships" r:embed="rId892" cstate="print"/>
        <a:srcRect/>
        <a:stretch>
          <a:fillRect/>
        </a:stretch>
      </xdr:blipFill>
      <xdr:spPr bwMode="auto">
        <a:xfrm>
          <a:off x="1095375" y="396906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974</xdr:row>
      <xdr:rowOff>9525</xdr:rowOff>
    </xdr:from>
    <xdr:to>
      <xdr:col>2</xdr:col>
      <xdr:colOff>638175</xdr:colOff>
      <xdr:row>977</xdr:row>
      <xdr:rowOff>571500</xdr:rowOff>
    </xdr:to>
    <xdr:pic>
      <xdr:nvPicPr>
        <xdr:cNvPr id="1977" name="Рисунок 953"/>
        <xdr:cNvPicPr>
          <a:picLocks noChangeAspect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1095375" y="40271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975</xdr:row>
      <xdr:rowOff>9525</xdr:rowOff>
    </xdr:from>
    <xdr:to>
      <xdr:col>2</xdr:col>
      <xdr:colOff>638175</xdr:colOff>
      <xdr:row>977</xdr:row>
      <xdr:rowOff>571500</xdr:rowOff>
    </xdr:to>
    <xdr:pic>
      <xdr:nvPicPr>
        <xdr:cNvPr id="1978" name="Рисунок 954"/>
        <xdr:cNvPicPr>
          <a:picLocks noChangeAspect="1"/>
        </xdr:cNvPicPr>
      </xdr:nvPicPr>
      <xdr:blipFill>
        <a:blip xmlns:r="http://schemas.openxmlformats.org/officeDocument/2006/relationships" r:embed="rId894" cstate="print"/>
        <a:srcRect/>
        <a:stretch>
          <a:fillRect/>
        </a:stretch>
      </xdr:blipFill>
      <xdr:spPr bwMode="auto">
        <a:xfrm>
          <a:off x="1095375" y="402717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976</xdr:row>
      <xdr:rowOff>47625</xdr:rowOff>
    </xdr:from>
    <xdr:to>
      <xdr:col>3</xdr:col>
      <xdr:colOff>0</xdr:colOff>
      <xdr:row>977</xdr:row>
      <xdr:rowOff>457200</xdr:rowOff>
    </xdr:to>
    <xdr:pic>
      <xdr:nvPicPr>
        <xdr:cNvPr id="1979" name="Рисунок 955"/>
        <xdr:cNvPicPr>
          <a:picLocks noChangeAspect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1038225" y="402717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977</xdr:row>
      <xdr:rowOff>47625</xdr:rowOff>
    </xdr:from>
    <xdr:to>
      <xdr:col>3</xdr:col>
      <xdr:colOff>0</xdr:colOff>
      <xdr:row>977</xdr:row>
      <xdr:rowOff>504825</xdr:rowOff>
    </xdr:to>
    <xdr:pic>
      <xdr:nvPicPr>
        <xdr:cNvPr id="1980" name="Рисунок 956"/>
        <xdr:cNvPicPr>
          <a:picLocks noChangeAspect="1"/>
        </xdr:cNvPicPr>
      </xdr:nvPicPr>
      <xdr:blipFill>
        <a:blip xmlns:r="http://schemas.openxmlformats.org/officeDocument/2006/relationships" r:embed="rId896" cstate="print"/>
        <a:srcRect/>
        <a:stretch>
          <a:fillRect/>
        </a:stretch>
      </xdr:blipFill>
      <xdr:spPr bwMode="auto">
        <a:xfrm>
          <a:off x="1038225" y="40319325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978</xdr:row>
      <xdr:rowOff>47625</xdr:rowOff>
    </xdr:from>
    <xdr:to>
      <xdr:col>3</xdr:col>
      <xdr:colOff>0</xdr:colOff>
      <xdr:row>978</xdr:row>
      <xdr:rowOff>504825</xdr:rowOff>
    </xdr:to>
    <xdr:pic>
      <xdr:nvPicPr>
        <xdr:cNvPr id="1981" name="Рисунок 957"/>
        <xdr:cNvPicPr>
          <a:picLocks noChangeAspect="1"/>
        </xdr:cNvPicPr>
      </xdr:nvPicPr>
      <xdr:blipFill>
        <a:blip xmlns:r="http://schemas.openxmlformats.org/officeDocument/2006/relationships" r:embed="rId897" cstate="print"/>
        <a:srcRect/>
        <a:stretch>
          <a:fillRect/>
        </a:stretch>
      </xdr:blipFill>
      <xdr:spPr bwMode="auto">
        <a:xfrm>
          <a:off x="1038225" y="40909875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979</xdr:row>
      <xdr:rowOff>47625</xdr:rowOff>
    </xdr:from>
    <xdr:to>
      <xdr:col>3</xdr:col>
      <xdr:colOff>0</xdr:colOff>
      <xdr:row>985</xdr:row>
      <xdr:rowOff>457200</xdr:rowOff>
    </xdr:to>
    <xdr:pic>
      <xdr:nvPicPr>
        <xdr:cNvPr id="1982" name="Рисунок 958"/>
        <xdr:cNvPicPr>
          <a:picLocks noChangeAspect="1"/>
        </xdr:cNvPicPr>
      </xdr:nvPicPr>
      <xdr:blipFill>
        <a:blip xmlns:r="http://schemas.openxmlformats.org/officeDocument/2006/relationships" r:embed="rId898" cstate="print"/>
        <a:srcRect/>
        <a:stretch>
          <a:fillRect/>
        </a:stretch>
      </xdr:blipFill>
      <xdr:spPr bwMode="auto">
        <a:xfrm>
          <a:off x="1038225" y="414528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980</xdr:row>
      <xdr:rowOff>47625</xdr:rowOff>
    </xdr:from>
    <xdr:to>
      <xdr:col>3</xdr:col>
      <xdr:colOff>0</xdr:colOff>
      <xdr:row>985</xdr:row>
      <xdr:rowOff>457200</xdr:rowOff>
    </xdr:to>
    <xdr:pic>
      <xdr:nvPicPr>
        <xdr:cNvPr id="1983" name="Рисунок 959"/>
        <xdr:cNvPicPr>
          <a:picLocks noChangeAspect="1"/>
        </xdr:cNvPicPr>
      </xdr:nvPicPr>
      <xdr:blipFill>
        <a:blip xmlns:r="http://schemas.openxmlformats.org/officeDocument/2006/relationships" r:embed="rId899" cstate="print"/>
        <a:srcRect/>
        <a:stretch>
          <a:fillRect/>
        </a:stretch>
      </xdr:blipFill>
      <xdr:spPr bwMode="auto">
        <a:xfrm>
          <a:off x="1038225" y="414528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981</xdr:row>
      <xdr:rowOff>9525</xdr:rowOff>
    </xdr:from>
    <xdr:to>
      <xdr:col>2</xdr:col>
      <xdr:colOff>638175</xdr:colOff>
      <xdr:row>985</xdr:row>
      <xdr:rowOff>571500</xdr:rowOff>
    </xdr:to>
    <xdr:pic>
      <xdr:nvPicPr>
        <xdr:cNvPr id="1984" name="Рисунок 960"/>
        <xdr:cNvPicPr>
          <a:picLocks noChangeAspect="1"/>
        </xdr:cNvPicPr>
      </xdr:nvPicPr>
      <xdr:blipFill>
        <a:blip xmlns:r="http://schemas.openxmlformats.org/officeDocument/2006/relationships" r:embed="rId900" cstate="print"/>
        <a:srcRect/>
        <a:stretch>
          <a:fillRect/>
        </a:stretch>
      </xdr:blipFill>
      <xdr:spPr bwMode="auto">
        <a:xfrm>
          <a:off x="1095375" y="41452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982</xdr:row>
      <xdr:rowOff>47625</xdr:rowOff>
    </xdr:from>
    <xdr:to>
      <xdr:col>3</xdr:col>
      <xdr:colOff>0</xdr:colOff>
      <xdr:row>985</xdr:row>
      <xdr:rowOff>457200</xdr:rowOff>
    </xdr:to>
    <xdr:pic>
      <xdr:nvPicPr>
        <xdr:cNvPr id="1985" name="Рисунок 961"/>
        <xdr:cNvPicPr>
          <a:picLocks noChangeAspect="1"/>
        </xdr:cNvPicPr>
      </xdr:nvPicPr>
      <xdr:blipFill>
        <a:blip xmlns:r="http://schemas.openxmlformats.org/officeDocument/2006/relationships" r:embed="rId901" cstate="print"/>
        <a:srcRect/>
        <a:stretch>
          <a:fillRect/>
        </a:stretch>
      </xdr:blipFill>
      <xdr:spPr bwMode="auto">
        <a:xfrm>
          <a:off x="1038225" y="414528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983</xdr:row>
      <xdr:rowOff>9525</xdr:rowOff>
    </xdr:from>
    <xdr:to>
      <xdr:col>2</xdr:col>
      <xdr:colOff>638175</xdr:colOff>
      <xdr:row>985</xdr:row>
      <xdr:rowOff>571500</xdr:rowOff>
    </xdr:to>
    <xdr:pic>
      <xdr:nvPicPr>
        <xdr:cNvPr id="1986" name="Рисунок 962"/>
        <xdr:cNvPicPr>
          <a:picLocks noChangeAspect="1"/>
        </xdr:cNvPicPr>
      </xdr:nvPicPr>
      <xdr:blipFill>
        <a:blip xmlns:r="http://schemas.openxmlformats.org/officeDocument/2006/relationships" r:embed="rId902" cstate="print"/>
        <a:srcRect/>
        <a:stretch>
          <a:fillRect/>
        </a:stretch>
      </xdr:blipFill>
      <xdr:spPr bwMode="auto">
        <a:xfrm>
          <a:off x="1095375" y="414528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985</xdr:row>
      <xdr:rowOff>9525</xdr:rowOff>
    </xdr:from>
    <xdr:to>
      <xdr:col>2</xdr:col>
      <xdr:colOff>638175</xdr:colOff>
      <xdr:row>985</xdr:row>
      <xdr:rowOff>581025</xdr:rowOff>
    </xdr:to>
    <xdr:pic>
      <xdr:nvPicPr>
        <xdr:cNvPr id="1987" name="Рисунок 963"/>
        <xdr:cNvPicPr>
          <a:picLocks noChangeAspect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1095375" y="414623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986</xdr:row>
      <xdr:rowOff>9525</xdr:rowOff>
    </xdr:from>
    <xdr:to>
      <xdr:col>2</xdr:col>
      <xdr:colOff>638175</xdr:colOff>
      <xdr:row>986</xdr:row>
      <xdr:rowOff>581025</xdr:rowOff>
    </xdr:to>
    <xdr:pic>
      <xdr:nvPicPr>
        <xdr:cNvPr id="1988" name="Рисунок 964"/>
        <xdr:cNvPicPr>
          <a:picLocks noChangeAspect="1"/>
        </xdr:cNvPicPr>
      </xdr:nvPicPr>
      <xdr:blipFill>
        <a:blip xmlns:r="http://schemas.openxmlformats.org/officeDocument/2006/relationships" r:embed="rId904" cstate="print"/>
        <a:srcRect/>
        <a:stretch>
          <a:fillRect/>
        </a:stretch>
      </xdr:blipFill>
      <xdr:spPr bwMode="auto">
        <a:xfrm>
          <a:off x="1095375" y="4205287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987</xdr:row>
      <xdr:rowOff>9525</xdr:rowOff>
    </xdr:from>
    <xdr:to>
      <xdr:col>2</xdr:col>
      <xdr:colOff>638175</xdr:colOff>
      <xdr:row>1063</xdr:row>
      <xdr:rowOff>0</xdr:rowOff>
    </xdr:to>
    <xdr:pic>
      <xdr:nvPicPr>
        <xdr:cNvPr id="1989" name="Рисунок 965"/>
        <xdr:cNvPicPr>
          <a:picLocks noChangeAspect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989</xdr:row>
      <xdr:rowOff>9525</xdr:rowOff>
    </xdr:from>
    <xdr:to>
      <xdr:col>2</xdr:col>
      <xdr:colOff>638175</xdr:colOff>
      <xdr:row>1063</xdr:row>
      <xdr:rowOff>0</xdr:rowOff>
    </xdr:to>
    <xdr:pic>
      <xdr:nvPicPr>
        <xdr:cNvPr id="1990" name="Рисунок 966"/>
        <xdr:cNvPicPr>
          <a:picLocks noChangeAspect="1"/>
        </xdr:cNvPicPr>
      </xdr:nvPicPr>
      <xdr:blipFill>
        <a:blip xmlns:r="http://schemas.openxmlformats.org/officeDocument/2006/relationships" r:embed="rId906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990</xdr:row>
      <xdr:rowOff>47625</xdr:rowOff>
    </xdr:from>
    <xdr:to>
      <xdr:col>3</xdr:col>
      <xdr:colOff>0</xdr:colOff>
      <xdr:row>1062</xdr:row>
      <xdr:rowOff>76200</xdr:rowOff>
    </xdr:to>
    <xdr:pic>
      <xdr:nvPicPr>
        <xdr:cNvPr id="1991" name="Рисунок 967"/>
        <xdr:cNvPicPr>
          <a:picLocks noChangeAspect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1038225" y="426339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991</xdr:row>
      <xdr:rowOff>9525</xdr:rowOff>
    </xdr:from>
    <xdr:to>
      <xdr:col>2</xdr:col>
      <xdr:colOff>638175</xdr:colOff>
      <xdr:row>1063</xdr:row>
      <xdr:rowOff>0</xdr:rowOff>
    </xdr:to>
    <xdr:pic>
      <xdr:nvPicPr>
        <xdr:cNvPr id="1992" name="Рисунок 968"/>
        <xdr:cNvPicPr>
          <a:picLocks noChangeAspect="1"/>
        </xdr:cNvPicPr>
      </xdr:nvPicPr>
      <xdr:blipFill>
        <a:blip xmlns:r="http://schemas.openxmlformats.org/officeDocument/2006/relationships" r:embed="rId908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992</xdr:row>
      <xdr:rowOff>9525</xdr:rowOff>
    </xdr:from>
    <xdr:to>
      <xdr:col>2</xdr:col>
      <xdr:colOff>657225</xdr:colOff>
      <xdr:row>1063</xdr:row>
      <xdr:rowOff>0</xdr:rowOff>
    </xdr:to>
    <xdr:pic>
      <xdr:nvPicPr>
        <xdr:cNvPr id="1993" name="Рисунок 969"/>
        <xdr:cNvPicPr>
          <a:picLocks noChangeAspect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1085850" y="42633900"/>
          <a:ext cx="600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993</xdr:row>
      <xdr:rowOff>9525</xdr:rowOff>
    </xdr:from>
    <xdr:to>
      <xdr:col>2</xdr:col>
      <xdr:colOff>638175</xdr:colOff>
      <xdr:row>1063</xdr:row>
      <xdr:rowOff>0</xdr:rowOff>
    </xdr:to>
    <xdr:pic>
      <xdr:nvPicPr>
        <xdr:cNvPr id="1994" name="Рисунок 970"/>
        <xdr:cNvPicPr>
          <a:picLocks noChangeAspect="1"/>
        </xdr:cNvPicPr>
      </xdr:nvPicPr>
      <xdr:blipFill>
        <a:blip xmlns:r="http://schemas.openxmlformats.org/officeDocument/2006/relationships" r:embed="rId910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994</xdr:row>
      <xdr:rowOff>9525</xdr:rowOff>
    </xdr:from>
    <xdr:to>
      <xdr:col>2</xdr:col>
      <xdr:colOff>638175</xdr:colOff>
      <xdr:row>1063</xdr:row>
      <xdr:rowOff>0</xdr:rowOff>
    </xdr:to>
    <xdr:pic>
      <xdr:nvPicPr>
        <xdr:cNvPr id="1995" name="Рисунок 971"/>
        <xdr:cNvPicPr>
          <a:picLocks noChangeAspect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995</xdr:row>
      <xdr:rowOff>9525</xdr:rowOff>
    </xdr:from>
    <xdr:to>
      <xdr:col>2</xdr:col>
      <xdr:colOff>638175</xdr:colOff>
      <xdr:row>1063</xdr:row>
      <xdr:rowOff>0</xdr:rowOff>
    </xdr:to>
    <xdr:pic>
      <xdr:nvPicPr>
        <xdr:cNvPr id="1996" name="Рисунок 972"/>
        <xdr:cNvPicPr>
          <a:picLocks noChangeAspect="1"/>
        </xdr:cNvPicPr>
      </xdr:nvPicPr>
      <xdr:blipFill>
        <a:blip xmlns:r="http://schemas.openxmlformats.org/officeDocument/2006/relationships" r:embed="rId912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996</xdr:row>
      <xdr:rowOff>9525</xdr:rowOff>
    </xdr:from>
    <xdr:to>
      <xdr:col>2</xdr:col>
      <xdr:colOff>638175</xdr:colOff>
      <xdr:row>1063</xdr:row>
      <xdr:rowOff>0</xdr:rowOff>
    </xdr:to>
    <xdr:pic>
      <xdr:nvPicPr>
        <xdr:cNvPr id="1997" name="Рисунок 973"/>
        <xdr:cNvPicPr>
          <a:picLocks noChangeAspect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997</xdr:row>
      <xdr:rowOff>9525</xdr:rowOff>
    </xdr:from>
    <xdr:to>
      <xdr:col>2</xdr:col>
      <xdr:colOff>638175</xdr:colOff>
      <xdr:row>1063</xdr:row>
      <xdr:rowOff>0</xdr:rowOff>
    </xdr:to>
    <xdr:pic>
      <xdr:nvPicPr>
        <xdr:cNvPr id="1998" name="Рисунок 974"/>
        <xdr:cNvPicPr>
          <a:picLocks noChangeAspect="1"/>
        </xdr:cNvPicPr>
      </xdr:nvPicPr>
      <xdr:blipFill>
        <a:blip xmlns:r="http://schemas.openxmlformats.org/officeDocument/2006/relationships" r:embed="rId914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998</xdr:row>
      <xdr:rowOff>9525</xdr:rowOff>
    </xdr:from>
    <xdr:to>
      <xdr:col>2</xdr:col>
      <xdr:colOff>638175</xdr:colOff>
      <xdr:row>1063</xdr:row>
      <xdr:rowOff>0</xdr:rowOff>
    </xdr:to>
    <xdr:pic>
      <xdr:nvPicPr>
        <xdr:cNvPr id="1999" name="Рисунок 975"/>
        <xdr:cNvPicPr>
          <a:picLocks noChangeAspect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999</xdr:row>
      <xdr:rowOff>9525</xdr:rowOff>
    </xdr:from>
    <xdr:to>
      <xdr:col>2</xdr:col>
      <xdr:colOff>638175</xdr:colOff>
      <xdr:row>1063</xdr:row>
      <xdr:rowOff>0</xdr:rowOff>
    </xdr:to>
    <xdr:pic>
      <xdr:nvPicPr>
        <xdr:cNvPr id="2000" name="Рисунок 976"/>
        <xdr:cNvPicPr>
          <a:picLocks noChangeAspect="1"/>
        </xdr:cNvPicPr>
      </xdr:nvPicPr>
      <xdr:blipFill>
        <a:blip xmlns:r="http://schemas.openxmlformats.org/officeDocument/2006/relationships" r:embed="rId916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1000</xdr:row>
      <xdr:rowOff>9525</xdr:rowOff>
    </xdr:from>
    <xdr:to>
      <xdr:col>2</xdr:col>
      <xdr:colOff>638175</xdr:colOff>
      <xdr:row>1063</xdr:row>
      <xdr:rowOff>0</xdr:rowOff>
    </xdr:to>
    <xdr:pic>
      <xdr:nvPicPr>
        <xdr:cNvPr id="2001" name="Рисунок 977"/>
        <xdr:cNvPicPr>
          <a:picLocks noChangeAspect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1001</xdr:row>
      <xdr:rowOff>9525</xdr:rowOff>
    </xdr:from>
    <xdr:to>
      <xdr:col>2</xdr:col>
      <xdr:colOff>638175</xdr:colOff>
      <xdr:row>1063</xdr:row>
      <xdr:rowOff>0</xdr:rowOff>
    </xdr:to>
    <xdr:pic>
      <xdr:nvPicPr>
        <xdr:cNvPr id="2002" name="Рисунок 978"/>
        <xdr:cNvPicPr>
          <a:picLocks noChangeAspect="1"/>
        </xdr:cNvPicPr>
      </xdr:nvPicPr>
      <xdr:blipFill>
        <a:blip xmlns:r="http://schemas.openxmlformats.org/officeDocument/2006/relationships" r:embed="rId918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1002</xdr:row>
      <xdr:rowOff>9525</xdr:rowOff>
    </xdr:from>
    <xdr:to>
      <xdr:col>2</xdr:col>
      <xdr:colOff>638175</xdr:colOff>
      <xdr:row>1063</xdr:row>
      <xdr:rowOff>0</xdr:rowOff>
    </xdr:to>
    <xdr:pic>
      <xdr:nvPicPr>
        <xdr:cNvPr id="2003" name="Рисунок 979"/>
        <xdr:cNvPicPr>
          <a:picLocks noChangeAspect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1003</xdr:row>
      <xdr:rowOff>9525</xdr:rowOff>
    </xdr:from>
    <xdr:to>
      <xdr:col>2</xdr:col>
      <xdr:colOff>638175</xdr:colOff>
      <xdr:row>1063</xdr:row>
      <xdr:rowOff>0</xdr:rowOff>
    </xdr:to>
    <xdr:pic>
      <xdr:nvPicPr>
        <xdr:cNvPr id="2004" name="Рисунок 980"/>
        <xdr:cNvPicPr>
          <a:picLocks noChangeAspect="1"/>
        </xdr:cNvPicPr>
      </xdr:nvPicPr>
      <xdr:blipFill>
        <a:blip xmlns:r="http://schemas.openxmlformats.org/officeDocument/2006/relationships" r:embed="rId920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1004</xdr:row>
      <xdr:rowOff>9525</xdr:rowOff>
    </xdr:from>
    <xdr:to>
      <xdr:col>2</xdr:col>
      <xdr:colOff>638175</xdr:colOff>
      <xdr:row>1063</xdr:row>
      <xdr:rowOff>0</xdr:rowOff>
    </xdr:to>
    <xdr:pic>
      <xdr:nvPicPr>
        <xdr:cNvPr id="2005" name="Рисунок 981"/>
        <xdr:cNvPicPr>
          <a:picLocks noChangeAspect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1006</xdr:row>
      <xdr:rowOff>9525</xdr:rowOff>
    </xdr:from>
    <xdr:to>
      <xdr:col>2</xdr:col>
      <xdr:colOff>638175</xdr:colOff>
      <xdr:row>1063</xdr:row>
      <xdr:rowOff>0</xdr:rowOff>
    </xdr:to>
    <xdr:pic>
      <xdr:nvPicPr>
        <xdr:cNvPr id="2006" name="Рисунок 982"/>
        <xdr:cNvPicPr>
          <a:picLocks noChangeAspect="1"/>
        </xdr:cNvPicPr>
      </xdr:nvPicPr>
      <xdr:blipFill>
        <a:blip xmlns:r="http://schemas.openxmlformats.org/officeDocument/2006/relationships" r:embed="rId922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1007</xdr:row>
      <xdr:rowOff>9525</xdr:rowOff>
    </xdr:from>
    <xdr:to>
      <xdr:col>2</xdr:col>
      <xdr:colOff>638175</xdr:colOff>
      <xdr:row>1063</xdr:row>
      <xdr:rowOff>0</xdr:rowOff>
    </xdr:to>
    <xdr:pic>
      <xdr:nvPicPr>
        <xdr:cNvPr id="2007" name="Рисунок 983"/>
        <xdr:cNvPicPr>
          <a:picLocks noChangeAspect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1008</xdr:row>
      <xdr:rowOff>9525</xdr:rowOff>
    </xdr:from>
    <xdr:to>
      <xdr:col>2</xdr:col>
      <xdr:colOff>638175</xdr:colOff>
      <xdr:row>1063</xdr:row>
      <xdr:rowOff>0</xdr:rowOff>
    </xdr:to>
    <xdr:pic>
      <xdr:nvPicPr>
        <xdr:cNvPr id="2008" name="Рисунок 984"/>
        <xdr:cNvPicPr>
          <a:picLocks noChangeAspect="1"/>
        </xdr:cNvPicPr>
      </xdr:nvPicPr>
      <xdr:blipFill>
        <a:blip xmlns:r="http://schemas.openxmlformats.org/officeDocument/2006/relationships" r:embed="rId924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1009</xdr:row>
      <xdr:rowOff>9525</xdr:rowOff>
    </xdr:from>
    <xdr:to>
      <xdr:col>2</xdr:col>
      <xdr:colOff>638175</xdr:colOff>
      <xdr:row>1063</xdr:row>
      <xdr:rowOff>0</xdr:rowOff>
    </xdr:to>
    <xdr:pic>
      <xdr:nvPicPr>
        <xdr:cNvPr id="2009" name="Рисунок 985"/>
        <xdr:cNvPicPr>
          <a:picLocks noChangeAspect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1010</xdr:row>
      <xdr:rowOff>9525</xdr:rowOff>
    </xdr:from>
    <xdr:to>
      <xdr:col>2</xdr:col>
      <xdr:colOff>638175</xdr:colOff>
      <xdr:row>1063</xdr:row>
      <xdr:rowOff>0</xdr:rowOff>
    </xdr:to>
    <xdr:pic>
      <xdr:nvPicPr>
        <xdr:cNvPr id="2010" name="Рисунок 986"/>
        <xdr:cNvPicPr>
          <a:picLocks noChangeAspect="1"/>
        </xdr:cNvPicPr>
      </xdr:nvPicPr>
      <xdr:blipFill>
        <a:blip xmlns:r="http://schemas.openxmlformats.org/officeDocument/2006/relationships" r:embed="rId926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1011</xdr:row>
      <xdr:rowOff>9525</xdr:rowOff>
    </xdr:from>
    <xdr:to>
      <xdr:col>2</xdr:col>
      <xdr:colOff>638175</xdr:colOff>
      <xdr:row>1063</xdr:row>
      <xdr:rowOff>0</xdr:rowOff>
    </xdr:to>
    <xdr:pic>
      <xdr:nvPicPr>
        <xdr:cNvPr id="2011" name="Рисунок 987"/>
        <xdr:cNvPicPr>
          <a:picLocks noChangeAspect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1012</xdr:row>
      <xdr:rowOff>9525</xdr:rowOff>
    </xdr:from>
    <xdr:to>
      <xdr:col>2</xdr:col>
      <xdr:colOff>638175</xdr:colOff>
      <xdr:row>1063</xdr:row>
      <xdr:rowOff>0</xdr:rowOff>
    </xdr:to>
    <xdr:pic>
      <xdr:nvPicPr>
        <xdr:cNvPr id="2012" name="Рисунок 988"/>
        <xdr:cNvPicPr>
          <a:picLocks noChangeAspect="1"/>
        </xdr:cNvPicPr>
      </xdr:nvPicPr>
      <xdr:blipFill>
        <a:blip xmlns:r="http://schemas.openxmlformats.org/officeDocument/2006/relationships" r:embed="rId928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1013</xdr:row>
      <xdr:rowOff>9525</xdr:rowOff>
    </xdr:from>
    <xdr:to>
      <xdr:col>2</xdr:col>
      <xdr:colOff>609600</xdr:colOff>
      <xdr:row>1063</xdr:row>
      <xdr:rowOff>0</xdr:rowOff>
    </xdr:to>
    <xdr:pic>
      <xdr:nvPicPr>
        <xdr:cNvPr id="2013" name="Рисунок 989"/>
        <xdr:cNvPicPr>
          <a:picLocks noChangeAspect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1133475" y="42633900"/>
          <a:ext cx="5048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1014</xdr:row>
      <xdr:rowOff>9525</xdr:rowOff>
    </xdr:from>
    <xdr:to>
      <xdr:col>2</xdr:col>
      <xdr:colOff>638175</xdr:colOff>
      <xdr:row>1063</xdr:row>
      <xdr:rowOff>0</xdr:rowOff>
    </xdr:to>
    <xdr:pic>
      <xdr:nvPicPr>
        <xdr:cNvPr id="2014" name="Рисунок 990"/>
        <xdr:cNvPicPr>
          <a:picLocks noChangeAspect="1"/>
        </xdr:cNvPicPr>
      </xdr:nvPicPr>
      <xdr:blipFill>
        <a:blip xmlns:r="http://schemas.openxmlformats.org/officeDocument/2006/relationships" r:embed="rId930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1015</xdr:row>
      <xdr:rowOff>9525</xdr:rowOff>
    </xdr:from>
    <xdr:to>
      <xdr:col>2</xdr:col>
      <xdr:colOff>638175</xdr:colOff>
      <xdr:row>1063</xdr:row>
      <xdr:rowOff>0</xdr:rowOff>
    </xdr:to>
    <xdr:pic>
      <xdr:nvPicPr>
        <xdr:cNvPr id="2015" name="Рисунок 991"/>
        <xdr:cNvPicPr>
          <a:picLocks noChangeAspect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1016</xdr:row>
      <xdr:rowOff>9525</xdr:rowOff>
    </xdr:from>
    <xdr:to>
      <xdr:col>2</xdr:col>
      <xdr:colOff>638175</xdr:colOff>
      <xdr:row>1063</xdr:row>
      <xdr:rowOff>0</xdr:rowOff>
    </xdr:to>
    <xdr:pic>
      <xdr:nvPicPr>
        <xdr:cNvPr id="2016" name="Рисунок 992"/>
        <xdr:cNvPicPr>
          <a:picLocks noChangeAspect="1"/>
        </xdr:cNvPicPr>
      </xdr:nvPicPr>
      <xdr:blipFill>
        <a:blip xmlns:r="http://schemas.openxmlformats.org/officeDocument/2006/relationships" r:embed="rId932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1017</xdr:row>
      <xdr:rowOff>9525</xdr:rowOff>
    </xdr:from>
    <xdr:to>
      <xdr:col>2</xdr:col>
      <xdr:colOff>638175</xdr:colOff>
      <xdr:row>1063</xdr:row>
      <xdr:rowOff>0</xdr:rowOff>
    </xdr:to>
    <xdr:pic>
      <xdr:nvPicPr>
        <xdr:cNvPr id="2017" name="Рисунок 993"/>
        <xdr:cNvPicPr>
          <a:picLocks noChangeAspect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1019</xdr:row>
      <xdr:rowOff>9525</xdr:rowOff>
    </xdr:from>
    <xdr:to>
      <xdr:col>2</xdr:col>
      <xdr:colOff>638175</xdr:colOff>
      <xdr:row>1063</xdr:row>
      <xdr:rowOff>0</xdr:rowOff>
    </xdr:to>
    <xdr:pic>
      <xdr:nvPicPr>
        <xdr:cNvPr id="2018" name="Рисунок 994"/>
        <xdr:cNvPicPr>
          <a:picLocks noChangeAspect="1"/>
        </xdr:cNvPicPr>
      </xdr:nvPicPr>
      <xdr:blipFill>
        <a:blip xmlns:r="http://schemas.openxmlformats.org/officeDocument/2006/relationships" r:embed="rId934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1020</xdr:row>
      <xdr:rowOff>9525</xdr:rowOff>
    </xdr:from>
    <xdr:to>
      <xdr:col>2</xdr:col>
      <xdr:colOff>638175</xdr:colOff>
      <xdr:row>1063</xdr:row>
      <xdr:rowOff>0</xdr:rowOff>
    </xdr:to>
    <xdr:pic>
      <xdr:nvPicPr>
        <xdr:cNvPr id="2019" name="Рисунок 995"/>
        <xdr:cNvPicPr>
          <a:picLocks noChangeAspect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1021</xdr:row>
      <xdr:rowOff>9525</xdr:rowOff>
    </xdr:from>
    <xdr:to>
      <xdr:col>2</xdr:col>
      <xdr:colOff>638175</xdr:colOff>
      <xdr:row>1063</xdr:row>
      <xdr:rowOff>0</xdr:rowOff>
    </xdr:to>
    <xdr:pic>
      <xdr:nvPicPr>
        <xdr:cNvPr id="2020" name="Рисунок 996"/>
        <xdr:cNvPicPr>
          <a:picLocks noChangeAspect="1"/>
        </xdr:cNvPicPr>
      </xdr:nvPicPr>
      <xdr:blipFill>
        <a:blip xmlns:r="http://schemas.openxmlformats.org/officeDocument/2006/relationships" r:embed="rId936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1022</xdr:row>
      <xdr:rowOff>9525</xdr:rowOff>
    </xdr:from>
    <xdr:to>
      <xdr:col>2</xdr:col>
      <xdr:colOff>638175</xdr:colOff>
      <xdr:row>1063</xdr:row>
      <xdr:rowOff>0</xdr:rowOff>
    </xdr:to>
    <xdr:pic>
      <xdr:nvPicPr>
        <xdr:cNvPr id="2021" name="Рисунок 997"/>
        <xdr:cNvPicPr>
          <a:picLocks noChangeAspect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1023</xdr:row>
      <xdr:rowOff>9525</xdr:rowOff>
    </xdr:from>
    <xdr:to>
      <xdr:col>2</xdr:col>
      <xdr:colOff>638175</xdr:colOff>
      <xdr:row>1063</xdr:row>
      <xdr:rowOff>0</xdr:rowOff>
    </xdr:to>
    <xdr:pic>
      <xdr:nvPicPr>
        <xdr:cNvPr id="2022" name="Рисунок 998"/>
        <xdr:cNvPicPr>
          <a:picLocks noChangeAspect="1"/>
        </xdr:cNvPicPr>
      </xdr:nvPicPr>
      <xdr:blipFill>
        <a:blip xmlns:r="http://schemas.openxmlformats.org/officeDocument/2006/relationships" r:embed="rId938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1024</xdr:row>
      <xdr:rowOff>9525</xdr:rowOff>
    </xdr:from>
    <xdr:to>
      <xdr:col>2</xdr:col>
      <xdr:colOff>638175</xdr:colOff>
      <xdr:row>1063</xdr:row>
      <xdr:rowOff>0</xdr:rowOff>
    </xdr:to>
    <xdr:pic>
      <xdr:nvPicPr>
        <xdr:cNvPr id="2023" name="Рисунок 999"/>
        <xdr:cNvPicPr>
          <a:picLocks noChangeAspect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1025</xdr:row>
      <xdr:rowOff>9525</xdr:rowOff>
    </xdr:from>
    <xdr:to>
      <xdr:col>2</xdr:col>
      <xdr:colOff>638175</xdr:colOff>
      <xdr:row>1063</xdr:row>
      <xdr:rowOff>0</xdr:rowOff>
    </xdr:to>
    <xdr:pic>
      <xdr:nvPicPr>
        <xdr:cNvPr id="2024" name="Рисунок 1000"/>
        <xdr:cNvPicPr>
          <a:picLocks noChangeAspect="1"/>
        </xdr:cNvPicPr>
      </xdr:nvPicPr>
      <xdr:blipFill>
        <a:blip xmlns:r="http://schemas.openxmlformats.org/officeDocument/2006/relationships" r:embed="rId940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1026</xdr:row>
      <xdr:rowOff>9525</xdr:rowOff>
    </xdr:from>
    <xdr:to>
      <xdr:col>2</xdr:col>
      <xdr:colOff>638175</xdr:colOff>
      <xdr:row>1063</xdr:row>
      <xdr:rowOff>0</xdr:rowOff>
    </xdr:to>
    <xdr:pic>
      <xdr:nvPicPr>
        <xdr:cNvPr id="2025" name="Рисунок 1001"/>
        <xdr:cNvPicPr>
          <a:picLocks noChangeAspect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1027</xdr:row>
      <xdr:rowOff>9525</xdr:rowOff>
    </xdr:from>
    <xdr:to>
      <xdr:col>2</xdr:col>
      <xdr:colOff>638175</xdr:colOff>
      <xdr:row>1063</xdr:row>
      <xdr:rowOff>0</xdr:rowOff>
    </xdr:to>
    <xdr:pic>
      <xdr:nvPicPr>
        <xdr:cNvPr id="2026" name="Рисунок 1002"/>
        <xdr:cNvPicPr>
          <a:picLocks noChangeAspect="1"/>
        </xdr:cNvPicPr>
      </xdr:nvPicPr>
      <xdr:blipFill>
        <a:blip xmlns:r="http://schemas.openxmlformats.org/officeDocument/2006/relationships" r:embed="rId942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1028</xdr:row>
      <xdr:rowOff>9525</xdr:rowOff>
    </xdr:from>
    <xdr:to>
      <xdr:col>2</xdr:col>
      <xdr:colOff>638175</xdr:colOff>
      <xdr:row>1063</xdr:row>
      <xdr:rowOff>0</xdr:rowOff>
    </xdr:to>
    <xdr:pic>
      <xdr:nvPicPr>
        <xdr:cNvPr id="2027" name="Рисунок 1003"/>
        <xdr:cNvPicPr>
          <a:picLocks noChangeAspect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1029</xdr:row>
      <xdr:rowOff>9525</xdr:rowOff>
    </xdr:from>
    <xdr:to>
      <xdr:col>2</xdr:col>
      <xdr:colOff>638175</xdr:colOff>
      <xdr:row>1063</xdr:row>
      <xdr:rowOff>0</xdr:rowOff>
    </xdr:to>
    <xdr:pic>
      <xdr:nvPicPr>
        <xdr:cNvPr id="2028" name="Рисунок 1004"/>
        <xdr:cNvPicPr>
          <a:picLocks noChangeAspect="1"/>
        </xdr:cNvPicPr>
      </xdr:nvPicPr>
      <xdr:blipFill>
        <a:blip xmlns:r="http://schemas.openxmlformats.org/officeDocument/2006/relationships" r:embed="rId944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1030</xdr:row>
      <xdr:rowOff>9525</xdr:rowOff>
    </xdr:from>
    <xdr:to>
      <xdr:col>2</xdr:col>
      <xdr:colOff>638175</xdr:colOff>
      <xdr:row>1063</xdr:row>
      <xdr:rowOff>0</xdr:rowOff>
    </xdr:to>
    <xdr:pic>
      <xdr:nvPicPr>
        <xdr:cNvPr id="2029" name="Рисунок 1005"/>
        <xdr:cNvPicPr>
          <a:picLocks noChangeAspect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1031</xdr:row>
      <xdr:rowOff>9525</xdr:rowOff>
    </xdr:from>
    <xdr:to>
      <xdr:col>2</xdr:col>
      <xdr:colOff>638175</xdr:colOff>
      <xdr:row>1063</xdr:row>
      <xdr:rowOff>0</xdr:rowOff>
    </xdr:to>
    <xdr:pic>
      <xdr:nvPicPr>
        <xdr:cNvPr id="2030" name="Рисунок 1006"/>
        <xdr:cNvPicPr>
          <a:picLocks noChangeAspect="1"/>
        </xdr:cNvPicPr>
      </xdr:nvPicPr>
      <xdr:blipFill>
        <a:blip xmlns:r="http://schemas.openxmlformats.org/officeDocument/2006/relationships" r:embed="rId946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1032</xdr:row>
      <xdr:rowOff>9525</xdr:rowOff>
    </xdr:from>
    <xdr:to>
      <xdr:col>2</xdr:col>
      <xdr:colOff>638175</xdr:colOff>
      <xdr:row>1063</xdr:row>
      <xdr:rowOff>0</xdr:rowOff>
    </xdr:to>
    <xdr:pic>
      <xdr:nvPicPr>
        <xdr:cNvPr id="2031" name="Рисунок 1007"/>
        <xdr:cNvPicPr>
          <a:picLocks noChangeAspect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1033</xdr:row>
      <xdr:rowOff>9525</xdr:rowOff>
    </xdr:from>
    <xdr:to>
      <xdr:col>2</xdr:col>
      <xdr:colOff>638175</xdr:colOff>
      <xdr:row>1063</xdr:row>
      <xdr:rowOff>0</xdr:rowOff>
    </xdr:to>
    <xdr:pic>
      <xdr:nvPicPr>
        <xdr:cNvPr id="2032" name="Рисунок 1008"/>
        <xdr:cNvPicPr>
          <a:picLocks noChangeAspect="1"/>
        </xdr:cNvPicPr>
      </xdr:nvPicPr>
      <xdr:blipFill>
        <a:blip xmlns:r="http://schemas.openxmlformats.org/officeDocument/2006/relationships" r:embed="rId948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1034</xdr:row>
      <xdr:rowOff>9525</xdr:rowOff>
    </xdr:from>
    <xdr:to>
      <xdr:col>2</xdr:col>
      <xdr:colOff>638175</xdr:colOff>
      <xdr:row>1063</xdr:row>
      <xdr:rowOff>0</xdr:rowOff>
    </xdr:to>
    <xdr:pic>
      <xdr:nvPicPr>
        <xdr:cNvPr id="2033" name="Рисунок 1009"/>
        <xdr:cNvPicPr>
          <a:picLocks noChangeAspect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1035</xdr:row>
      <xdr:rowOff>9525</xdr:rowOff>
    </xdr:from>
    <xdr:to>
      <xdr:col>2</xdr:col>
      <xdr:colOff>638175</xdr:colOff>
      <xdr:row>1063</xdr:row>
      <xdr:rowOff>0</xdr:rowOff>
    </xdr:to>
    <xdr:pic>
      <xdr:nvPicPr>
        <xdr:cNvPr id="2034" name="Рисунок 1010"/>
        <xdr:cNvPicPr>
          <a:picLocks noChangeAspect="1"/>
        </xdr:cNvPicPr>
      </xdr:nvPicPr>
      <xdr:blipFill>
        <a:blip xmlns:r="http://schemas.openxmlformats.org/officeDocument/2006/relationships" r:embed="rId950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1036</xdr:row>
      <xdr:rowOff>9525</xdr:rowOff>
    </xdr:from>
    <xdr:to>
      <xdr:col>2</xdr:col>
      <xdr:colOff>638175</xdr:colOff>
      <xdr:row>1063</xdr:row>
      <xdr:rowOff>0</xdr:rowOff>
    </xdr:to>
    <xdr:pic>
      <xdr:nvPicPr>
        <xdr:cNvPr id="2035" name="Рисунок 1011"/>
        <xdr:cNvPicPr>
          <a:picLocks noChangeAspect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1037</xdr:row>
      <xdr:rowOff>9525</xdr:rowOff>
    </xdr:from>
    <xdr:to>
      <xdr:col>2</xdr:col>
      <xdr:colOff>638175</xdr:colOff>
      <xdr:row>1063</xdr:row>
      <xdr:rowOff>0</xdr:rowOff>
    </xdr:to>
    <xdr:pic>
      <xdr:nvPicPr>
        <xdr:cNvPr id="2036" name="Рисунок 1012"/>
        <xdr:cNvPicPr>
          <a:picLocks noChangeAspect="1"/>
        </xdr:cNvPicPr>
      </xdr:nvPicPr>
      <xdr:blipFill>
        <a:blip xmlns:r="http://schemas.openxmlformats.org/officeDocument/2006/relationships" r:embed="rId952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1038</xdr:row>
      <xdr:rowOff>9525</xdr:rowOff>
    </xdr:from>
    <xdr:to>
      <xdr:col>2</xdr:col>
      <xdr:colOff>638175</xdr:colOff>
      <xdr:row>1063</xdr:row>
      <xdr:rowOff>0</xdr:rowOff>
    </xdr:to>
    <xdr:pic>
      <xdr:nvPicPr>
        <xdr:cNvPr id="2037" name="Рисунок 1013"/>
        <xdr:cNvPicPr>
          <a:picLocks noChangeAspect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1039</xdr:row>
      <xdr:rowOff>9525</xdr:rowOff>
    </xdr:from>
    <xdr:to>
      <xdr:col>2</xdr:col>
      <xdr:colOff>638175</xdr:colOff>
      <xdr:row>1063</xdr:row>
      <xdr:rowOff>0</xdr:rowOff>
    </xdr:to>
    <xdr:pic>
      <xdr:nvPicPr>
        <xdr:cNvPr id="2038" name="Рисунок 1014"/>
        <xdr:cNvPicPr>
          <a:picLocks noChangeAspect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1040</xdr:row>
      <xdr:rowOff>9525</xdr:rowOff>
    </xdr:from>
    <xdr:to>
      <xdr:col>2</xdr:col>
      <xdr:colOff>638175</xdr:colOff>
      <xdr:row>1063</xdr:row>
      <xdr:rowOff>0</xdr:rowOff>
    </xdr:to>
    <xdr:pic>
      <xdr:nvPicPr>
        <xdr:cNvPr id="2039" name="Рисунок 1015"/>
        <xdr:cNvPicPr>
          <a:picLocks noChangeAspect="1"/>
        </xdr:cNvPicPr>
      </xdr:nvPicPr>
      <xdr:blipFill>
        <a:blip xmlns:r="http://schemas.openxmlformats.org/officeDocument/2006/relationships" r:embed="rId954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1041</xdr:row>
      <xdr:rowOff>9525</xdr:rowOff>
    </xdr:from>
    <xdr:to>
      <xdr:col>2</xdr:col>
      <xdr:colOff>638175</xdr:colOff>
      <xdr:row>1063</xdr:row>
      <xdr:rowOff>0</xdr:rowOff>
    </xdr:to>
    <xdr:pic>
      <xdr:nvPicPr>
        <xdr:cNvPr id="2040" name="Рисунок 1016"/>
        <xdr:cNvPicPr>
          <a:picLocks noChangeAspect="1"/>
        </xdr:cNvPicPr>
      </xdr:nvPicPr>
      <xdr:blipFill>
        <a:blip xmlns:r="http://schemas.openxmlformats.org/officeDocument/2006/relationships" r:embed="rId955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1042</xdr:row>
      <xdr:rowOff>9525</xdr:rowOff>
    </xdr:from>
    <xdr:to>
      <xdr:col>2</xdr:col>
      <xdr:colOff>638175</xdr:colOff>
      <xdr:row>1063</xdr:row>
      <xdr:rowOff>0</xdr:rowOff>
    </xdr:to>
    <xdr:pic>
      <xdr:nvPicPr>
        <xdr:cNvPr id="2041" name="Рисунок 1017"/>
        <xdr:cNvPicPr>
          <a:picLocks noChangeAspect="1"/>
        </xdr:cNvPicPr>
      </xdr:nvPicPr>
      <xdr:blipFill>
        <a:blip xmlns:r="http://schemas.openxmlformats.org/officeDocument/2006/relationships" r:embed="rId956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1043</xdr:row>
      <xdr:rowOff>9525</xdr:rowOff>
    </xdr:from>
    <xdr:to>
      <xdr:col>2</xdr:col>
      <xdr:colOff>638175</xdr:colOff>
      <xdr:row>1063</xdr:row>
      <xdr:rowOff>0</xdr:rowOff>
    </xdr:to>
    <xdr:pic>
      <xdr:nvPicPr>
        <xdr:cNvPr id="2042" name="Рисунок 1018"/>
        <xdr:cNvPicPr>
          <a:picLocks noChangeAspect="1"/>
        </xdr:cNvPicPr>
      </xdr:nvPicPr>
      <xdr:blipFill>
        <a:blip xmlns:r="http://schemas.openxmlformats.org/officeDocument/2006/relationships" r:embed="rId957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1044</xdr:row>
      <xdr:rowOff>9525</xdr:rowOff>
    </xdr:from>
    <xdr:to>
      <xdr:col>2</xdr:col>
      <xdr:colOff>638175</xdr:colOff>
      <xdr:row>1063</xdr:row>
      <xdr:rowOff>0</xdr:rowOff>
    </xdr:to>
    <xdr:pic>
      <xdr:nvPicPr>
        <xdr:cNvPr id="2043" name="Рисунок 1019"/>
        <xdr:cNvPicPr>
          <a:picLocks noChangeAspect="1"/>
        </xdr:cNvPicPr>
      </xdr:nvPicPr>
      <xdr:blipFill>
        <a:blip xmlns:r="http://schemas.openxmlformats.org/officeDocument/2006/relationships" r:embed="rId958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1045</xdr:row>
      <xdr:rowOff>9525</xdr:rowOff>
    </xdr:from>
    <xdr:to>
      <xdr:col>2</xdr:col>
      <xdr:colOff>638175</xdr:colOff>
      <xdr:row>1063</xdr:row>
      <xdr:rowOff>0</xdr:rowOff>
    </xdr:to>
    <xdr:pic>
      <xdr:nvPicPr>
        <xdr:cNvPr id="2044" name="Рисунок 1020"/>
        <xdr:cNvPicPr>
          <a:picLocks noChangeAspect="1"/>
        </xdr:cNvPicPr>
      </xdr:nvPicPr>
      <xdr:blipFill>
        <a:blip xmlns:r="http://schemas.openxmlformats.org/officeDocument/2006/relationships" r:embed="rId959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1046</xdr:row>
      <xdr:rowOff>9525</xdr:rowOff>
    </xdr:from>
    <xdr:to>
      <xdr:col>2</xdr:col>
      <xdr:colOff>638175</xdr:colOff>
      <xdr:row>1063</xdr:row>
      <xdr:rowOff>0</xdr:rowOff>
    </xdr:to>
    <xdr:pic>
      <xdr:nvPicPr>
        <xdr:cNvPr id="2045" name="Рисунок 1021"/>
        <xdr:cNvPicPr>
          <a:picLocks noChangeAspect="1"/>
        </xdr:cNvPicPr>
      </xdr:nvPicPr>
      <xdr:blipFill>
        <a:blip xmlns:r="http://schemas.openxmlformats.org/officeDocument/2006/relationships" r:embed="rId960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1047</xdr:row>
      <xdr:rowOff>9525</xdr:rowOff>
    </xdr:from>
    <xdr:to>
      <xdr:col>2</xdr:col>
      <xdr:colOff>638175</xdr:colOff>
      <xdr:row>1063</xdr:row>
      <xdr:rowOff>0</xdr:rowOff>
    </xdr:to>
    <xdr:pic>
      <xdr:nvPicPr>
        <xdr:cNvPr id="2046" name="Рисунок 1022"/>
        <xdr:cNvPicPr>
          <a:picLocks noChangeAspect="1"/>
        </xdr:cNvPicPr>
      </xdr:nvPicPr>
      <xdr:blipFill>
        <a:blip xmlns:r="http://schemas.openxmlformats.org/officeDocument/2006/relationships" r:embed="rId961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1048</xdr:row>
      <xdr:rowOff>9525</xdr:rowOff>
    </xdr:from>
    <xdr:to>
      <xdr:col>2</xdr:col>
      <xdr:colOff>638175</xdr:colOff>
      <xdr:row>1063</xdr:row>
      <xdr:rowOff>0</xdr:rowOff>
    </xdr:to>
    <xdr:pic>
      <xdr:nvPicPr>
        <xdr:cNvPr id="2047" name="Рисунок 1023"/>
        <xdr:cNvPicPr>
          <a:picLocks noChangeAspect="1"/>
        </xdr:cNvPicPr>
      </xdr:nvPicPr>
      <xdr:blipFill>
        <a:blip xmlns:r="http://schemas.openxmlformats.org/officeDocument/2006/relationships" r:embed="rId962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1049</xdr:row>
      <xdr:rowOff>9525</xdr:rowOff>
    </xdr:from>
    <xdr:to>
      <xdr:col>2</xdr:col>
      <xdr:colOff>638175</xdr:colOff>
      <xdr:row>1063</xdr:row>
      <xdr:rowOff>0</xdr:rowOff>
    </xdr:to>
    <xdr:pic>
      <xdr:nvPicPr>
        <xdr:cNvPr id="2048" name="Рисунок 1024"/>
        <xdr:cNvPicPr>
          <a:picLocks noChangeAspect="1"/>
        </xdr:cNvPicPr>
      </xdr:nvPicPr>
      <xdr:blipFill>
        <a:blip xmlns:r="http://schemas.openxmlformats.org/officeDocument/2006/relationships" r:embed="rId963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1050</xdr:row>
      <xdr:rowOff>9525</xdr:rowOff>
    </xdr:from>
    <xdr:to>
      <xdr:col>2</xdr:col>
      <xdr:colOff>638175</xdr:colOff>
      <xdr:row>1063</xdr:row>
      <xdr:rowOff>0</xdr:rowOff>
    </xdr:to>
    <xdr:pic>
      <xdr:nvPicPr>
        <xdr:cNvPr id="2049" name="Рисунок 1025"/>
        <xdr:cNvPicPr>
          <a:picLocks noChangeAspect="1"/>
        </xdr:cNvPicPr>
      </xdr:nvPicPr>
      <xdr:blipFill>
        <a:blip xmlns:r="http://schemas.openxmlformats.org/officeDocument/2006/relationships" r:embed="rId964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1051</xdr:row>
      <xdr:rowOff>9525</xdr:rowOff>
    </xdr:from>
    <xdr:to>
      <xdr:col>2</xdr:col>
      <xdr:colOff>638175</xdr:colOff>
      <xdr:row>1063</xdr:row>
      <xdr:rowOff>0</xdr:rowOff>
    </xdr:to>
    <xdr:pic>
      <xdr:nvPicPr>
        <xdr:cNvPr id="2050" name="Рисунок 1026"/>
        <xdr:cNvPicPr>
          <a:picLocks noChangeAspect="1"/>
        </xdr:cNvPicPr>
      </xdr:nvPicPr>
      <xdr:blipFill>
        <a:blip xmlns:r="http://schemas.openxmlformats.org/officeDocument/2006/relationships" r:embed="rId965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1052</xdr:row>
      <xdr:rowOff>9525</xdr:rowOff>
    </xdr:from>
    <xdr:to>
      <xdr:col>2</xdr:col>
      <xdr:colOff>638175</xdr:colOff>
      <xdr:row>1063</xdr:row>
      <xdr:rowOff>0</xdr:rowOff>
    </xdr:to>
    <xdr:pic>
      <xdr:nvPicPr>
        <xdr:cNvPr id="2051" name="Рисунок 1027"/>
        <xdr:cNvPicPr>
          <a:picLocks noChangeAspect="1"/>
        </xdr:cNvPicPr>
      </xdr:nvPicPr>
      <xdr:blipFill>
        <a:blip xmlns:r="http://schemas.openxmlformats.org/officeDocument/2006/relationships" r:embed="rId966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1053</xdr:row>
      <xdr:rowOff>9525</xdr:rowOff>
    </xdr:from>
    <xdr:to>
      <xdr:col>2</xdr:col>
      <xdr:colOff>638175</xdr:colOff>
      <xdr:row>1063</xdr:row>
      <xdr:rowOff>0</xdr:rowOff>
    </xdr:to>
    <xdr:pic>
      <xdr:nvPicPr>
        <xdr:cNvPr id="2052" name="Рисунок 1028"/>
        <xdr:cNvPicPr>
          <a:picLocks noChangeAspect="1"/>
        </xdr:cNvPicPr>
      </xdr:nvPicPr>
      <xdr:blipFill>
        <a:blip xmlns:r="http://schemas.openxmlformats.org/officeDocument/2006/relationships" r:embed="rId967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1054</xdr:row>
      <xdr:rowOff>9525</xdr:rowOff>
    </xdr:from>
    <xdr:to>
      <xdr:col>2</xdr:col>
      <xdr:colOff>638175</xdr:colOff>
      <xdr:row>1063</xdr:row>
      <xdr:rowOff>0</xdr:rowOff>
    </xdr:to>
    <xdr:pic>
      <xdr:nvPicPr>
        <xdr:cNvPr id="2053" name="Рисунок 1029"/>
        <xdr:cNvPicPr>
          <a:picLocks noChangeAspect="1"/>
        </xdr:cNvPicPr>
      </xdr:nvPicPr>
      <xdr:blipFill>
        <a:blip xmlns:r="http://schemas.openxmlformats.org/officeDocument/2006/relationships" r:embed="rId968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1055</xdr:row>
      <xdr:rowOff>9525</xdr:rowOff>
    </xdr:from>
    <xdr:to>
      <xdr:col>2</xdr:col>
      <xdr:colOff>638175</xdr:colOff>
      <xdr:row>1063</xdr:row>
      <xdr:rowOff>0</xdr:rowOff>
    </xdr:to>
    <xdr:pic>
      <xdr:nvPicPr>
        <xdr:cNvPr id="2054" name="Рисунок 1030"/>
        <xdr:cNvPicPr>
          <a:picLocks noChangeAspect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1057</xdr:row>
      <xdr:rowOff>9525</xdr:rowOff>
    </xdr:from>
    <xdr:to>
      <xdr:col>2</xdr:col>
      <xdr:colOff>638175</xdr:colOff>
      <xdr:row>1063</xdr:row>
      <xdr:rowOff>0</xdr:rowOff>
    </xdr:to>
    <xdr:pic>
      <xdr:nvPicPr>
        <xdr:cNvPr id="2055" name="Рисунок 1031"/>
        <xdr:cNvPicPr>
          <a:picLocks noChangeAspect="1"/>
        </xdr:cNvPicPr>
      </xdr:nvPicPr>
      <xdr:blipFill>
        <a:blip xmlns:r="http://schemas.openxmlformats.org/officeDocument/2006/relationships" r:embed="rId970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1058</xdr:row>
      <xdr:rowOff>9525</xdr:rowOff>
    </xdr:from>
    <xdr:to>
      <xdr:col>2</xdr:col>
      <xdr:colOff>638175</xdr:colOff>
      <xdr:row>1063</xdr:row>
      <xdr:rowOff>0</xdr:rowOff>
    </xdr:to>
    <xdr:pic>
      <xdr:nvPicPr>
        <xdr:cNvPr id="2056" name="Рисунок 1032"/>
        <xdr:cNvPicPr>
          <a:picLocks noChangeAspect="1"/>
        </xdr:cNvPicPr>
      </xdr:nvPicPr>
      <xdr:blipFill>
        <a:blip xmlns:r="http://schemas.openxmlformats.org/officeDocument/2006/relationships" r:embed="rId970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1059</xdr:row>
      <xdr:rowOff>9525</xdr:rowOff>
    </xdr:from>
    <xdr:to>
      <xdr:col>2</xdr:col>
      <xdr:colOff>638175</xdr:colOff>
      <xdr:row>1063</xdr:row>
      <xdr:rowOff>0</xdr:rowOff>
    </xdr:to>
    <xdr:pic>
      <xdr:nvPicPr>
        <xdr:cNvPr id="2057" name="Рисунок 1033"/>
        <xdr:cNvPicPr>
          <a:picLocks noChangeAspect="1"/>
        </xdr:cNvPicPr>
      </xdr:nvPicPr>
      <xdr:blipFill>
        <a:blip xmlns:r="http://schemas.openxmlformats.org/officeDocument/2006/relationships" r:embed="rId970" cstate="print"/>
        <a:srcRect/>
        <a:stretch>
          <a:fillRect/>
        </a:stretch>
      </xdr:blipFill>
      <xdr:spPr bwMode="auto">
        <a:xfrm>
          <a:off x="1095375" y="4263390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J1060"/>
  <sheetViews>
    <sheetView showGridLines="0" tabSelected="1" zoomScale="85" workbookViewId="0">
      <pane ySplit="11" topLeftCell="A198" activePane="bottomLeft" state="frozen"/>
      <selection pane="bottomLeft" activeCell="F974" sqref="F974"/>
    </sheetView>
  </sheetViews>
  <sheetFormatPr defaultRowHeight="15"/>
  <cols>
    <col min="1" max="1" width="4.42578125" customWidth="1"/>
    <col min="2" max="2" width="11" customWidth="1"/>
    <col min="3" max="3" width="10.42578125" customWidth="1"/>
    <col min="4" max="4" width="50" customWidth="1"/>
    <col min="5" max="5" width="8.85546875" customWidth="1"/>
    <col min="6" max="6" width="10.42578125" customWidth="1"/>
    <col min="7" max="10" width="9.140625" hidden="1" customWidth="1"/>
  </cols>
  <sheetData>
    <row r="1" spans="1:10" ht="5.45" customHeight="1">
      <c r="A1" s="6"/>
      <c r="B1" s="5"/>
      <c r="C1" s="2"/>
      <c r="D1" s="2"/>
      <c r="E1" s="2"/>
      <c r="F1" s="2"/>
      <c r="G1" s="15"/>
      <c r="H1" s="15"/>
      <c r="I1" s="15"/>
      <c r="J1" s="2"/>
    </row>
    <row r="2" spans="1:10" ht="15" customHeight="1">
      <c r="A2" s="6"/>
      <c r="B2" s="11"/>
      <c r="C2" s="2"/>
      <c r="D2" s="2"/>
      <c r="E2" s="12" t="s">
        <v>283</v>
      </c>
      <c r="F2" s="13" t="s">
        <v>284</v>
      </c>
      <c r="G2" s="15"/>
      <c r="H2" s="15"/>
      <c r="I2" s="15"/>
      <c r="J2" s="2"/>
    </row>
    <row r="3" spans="1:10" ht="12" customHeight="1">
      <c r="A3" s="6"/>
      <c r="B3" s="11"/>
      <c r="C3" s="2"/>
      <c r="D3" s="2"/>
      <c r="E3" s="12"/>
      <c r="F3" s="13"/>
      <c r="G3" s="15"/>
      <c r="H3" s="15"/>
      <c r="I3" s="15"/>
      <c r="J3" s="2"/>
    </row>
    <row r="4" spans="1:10" ht="12" customHeight="1">
      <c r="A4" s="6"/>
      <c r="B4" s="11"/>
      <c r="C4" s="2"/>
      <c r="D4" s="2"/>
      <c r="E4" s="12" t="s">
        <v>285</v>
      </c>
      <c r="F4" s="13" t="s">
        <v>286</v>
      </c>
      <c r="G4" s="15"/>
      <c r="H4" s="15"/>
      <c r="I4" s="15"/>
      <c r="J4" s="2"/>
    </row>
    <row r="5" spans="1:10" ht="12" customHeight="1">
      <c r="A5" s="6"/>
      <c r="B5" s="11"/>
      <c r="C5" s="2"/>
      <c r="D5" s="2"/>
      <c r="E5" s="12"/>
      <c r="F5" s="13" t="s">
        <v>287</v>
      </c>
      <c r="G5" s="15"/>
      <c r="H5" s="15"/>
      <c r="I5" s="15"/>
      <c r="J5" s="2"/>
    </row>
    <row r="6" spans="1:10" ht="12" customHeight="1">
      <c r="A6" s="6"/>
      <c r="B6" s="11" t="s">
        <v>288</v>
      </c>
      <c r="C6" s="2"/>
      <c r="D6" s="2"/>
      <c r="E6" s="12"/>
      <c r="F6" s="13"/>
      <c r="G6" s="15"/>
      <c r="H6" s="15"/>
      <c r="I6" s="15"/>
      <c r="J6" s="2"/>
    </row>
    <row r="7" spans="1:10" ht="12" customHeight="1">
      <c r="A7" s="6"/>
      <c r="B7" s="14" t="s">
        <v>289</v>
      </c>
      <c r="C7" s="2"/>
      <c r="D7" s="2"/>
      <c r="E7" s="12"/>
      <c r="F7" s="13" t="s">
        <v>290</v>
      </c>
      <c r="G7" s="15"/>
      <c r="H7" s="15"/>
      <c r="I7" s="15"/>
      <c r="J7" s="2"/>
    </row>
    <row r="8" spans="1:10" ht="12" customHeight="1">
      <c r="A8" s="6"/>
      <c r="B8" s="11"/>
      <c r="C8" s="2"/>
      <c r="D8" s="2"/>
      <c r="E8" s="12"/>
      <c r="F8" s="13"/>
      <c r="G8" s="15"/>
      <c r="H8" s="15"/>
      <c r="I8" s="15"/>
      <c r="J8" s="2"/>
    </row>
    <row r="9" spans="1:10" ht="5.45" customHeight="1">
      <c r="A9" s="6"/>
      <c r="B9" s="11"/>
      <c r="C9" s="2"/>
      <c r="D9" s="2"/>
      <c r="E9" s="2"/>
      <c r="F9" s="2"/>
      <c r="G9" s="15"/>
      <c r="H9" s="15"/>
      <c r="I9" s="15"/>
      <c r="J9" s="2"/>
    </row>
    <row r="10" spans="1:10" ht="36" customHeight="1">
      <c r="A10" s="6"/>
      <c r="B10" s="22" t="s">
        <v>291</v>
      </c>
      <c r="C10" s="22" t="s">
        <v>292</v>
      </c>
      <c r="D10" s="22" t="s">
        <v>293</v>
      </c>
      <c r="E10" s="22" t="s">
        <v>294</v>
      </c>
      <c r="F10" s="22" t="s">
        <v>295</v>
      </c>
      <c r="G10" s="8"/>
      <c r="H10" s="8"/>
      <c r="I10" s="8"/>
      <c r="J10" s="8"/>
    </row>
    <row r="11" spans="1:10">
      <c r="A11" s="6"/>
      <c r="B11" s="22"/>
      <c r="C11" s="22"/>
      <c r="D11" s="22"/>
      <c r="E11" s="22"/>
      <c r="F11" s="23"/>
      <c r="G11" s="8"/>
      <c r="H11" s="8"/>
      <c r="I11" s="8"/>
      <c r="J11" s="8"/>
    </row>
    <row r="12" spans="1:10" ht="18.75" hidden="1">
      <c r="A12" s="6"/>
      <c r="B12" s="16" t="s">
        <v>296</v>
      </c>
      <c r="C12" s="17"/>
      <c r="D12" s="17"/>
      <c r="E12" s="17"/>
      <c r="F12" s="17"/>
      <c r="G12" s="17"/>
      <c r="H12" s="17"/>
      <c r="I12" s="17"/>
      <c r="J12" s="18"/>
    </row>
    <row r="13" spans="1:10" ht="46.9" hidden="1" customHeight="1">
      <c r="A13" s="7" t="s">
        <v>297</v>
      </c>
      <c r="B13" s="4">
        <v>1100097</v>
      </c>
      <c r="C13" s="3"/>
      <c r="D13" s="9" t="s">
        <v>298</v>
      </c>
      <c r="E13" s="4">
        <v>4</v>
      </c>
      <c r="F13" s="10"/>
      <c r="G13" s="3">
        <f>2.75*F13</f>
        <v>0</v>
      </c>
      <c r="H13" s="3">
        <f>0.02175*F13</f>
        <v>0</v>
      </c>
      <c r="I13" s="3"/>
      <c r="J13" s="3" t="s">
        <v>299</v>
      </c>
    </row>
    <row r="14" spans="1:10" ht="46.9" hidden="1" customHeight="1">
      <c r="A14" s="7" t="s">
        <v>300</v>
      </c>
      <c r="B14" s="4">
        <v>1100197</v>
      </c>
      <c r="C14" s="3"/>
      <c r="D14" s="9" t="s">
        <v>301</v>
      </c>
      <c r="E14" s="4">
        <v>8</v>
      </c>
      <c r="F14" s="10"/>
      <c r="G14" s="3">
        <f>1.04*F14</f>
        <v>0</v>
      </c>
      <c r="H14" s="3">
        <f>0.0073815*F14</f>
        <v>0</v>
      </c>
      <c r="I14" s="3"/>
      <c r="J14" s="3" t="s">
        <v>299</v>
      </c>
    </row>
    <row r="15" spans="1:10" ht="46.9" hidden="1" customHeight="1">
      <c r="A15" s="7" t="s">
        <v>300</v>
      </c>
      <c r="B15" s="4">
        <v>1100170</v>
      </c>
      <c r="C15" s="3"/>
      <c r="D15" s="9" t="s">
        <v>302</v>
      </c>
      <c r="E15" s="4">
        <v>6</v>
      </c>
      <c r="F15" s="10"/>
      <c r="G15" s="3">
        <f>1.75*F15</f>
        <v>0</v>
      </c>
      <c r="H15" s="3">
        <f>0.010045*F15</f>
        <v>0</v>
      </c>
      <c r="I15" s="3"/>
      <c r="J15" s="3" t="s">
        <v>299</v>
      </c>
    </row>
    <row r="16" spans="1:10" ht="46.9" hidden="1" customHeight="1">
      <c r="A16" s="7" t="s">
        <v>300</v>
      </c>
      <c r="B16" s="4">
        <v>1100171</v>
      </c>
      <c r="C16" s="3"/>
      <c r="D16" s="9" t="s">
        <v>303</v>
      </c>
      <c r="E16" s="4">
        <v>6</v>
      </c>
      <c r="F16" s="10"/>
      <c r="G16" s="3">
        <f>1.76*F16</f>
        <v>0</v>
      </c>
      <c r="H16" s="3">
        <f>0.00966*F16</f>
        <v>0</v>
      </c>
      <c r="I16" s="3"/>
      <c r="J16" s="3" t="s">
        <v>299</v>
      </c>
    </row>
    <row r="17" spans="1:10" ht="46.9" hidden="1" customHeight="1">
      <c r="A17" s="7" t="s">
        <v>300</v>
      </c>
      <c r="B17" s="4">
        <v>1100172</v>
      </c>
      <c r="C17" s="3"/>
      <c r="D17" s="9" t="s">
        <v>304</v>
      </c>
      <c r="E17" s="4">
        <v>6</v>
      </c>
      <c r="F17" s="10"/>
      <c r="G17" s="3">
        <f>2.1*F17</f>
        <v>0</v>
      </c>
      <c r="H17" s="3">
        <f>0.012021333*F17</f>
        <v>0</v>
      </c>
      <c r="I17" s="3"/>
      <c r="J17" s="3" t="s">
        <v>299</v>
      </c>
    </row>
    <row r="18" spans="1:10" ht="46.9" hidden="1" customHeight="1">
      <c r="A18" s="7" t="s">
        <v>300</v>
      </c>
      <c r="B18" s="4">
        <v>1100173</v>
      </c>
      <c r="C18" s="3"/>
      <c r="D18" s="9" t="s">
        <v>305</v>
      </c>
      <c r="E18" s="4">
        <v>4</v>
      </c>
      <c r="F18" s="10"/>
      <c r="G18" s="3">
        <f>2.58*F18</f>
        <v>0</v>
      </c>
      <c r="H18" s="3">
        <f>0.0161875*F18</f>
        <v>0</v>
      </c>
      <c r="I18" s="3"/>
      <c r="J18" s="3" t="s">
        <v>299</v>
      </c>
    </row>
    <row r="19" spans="1:10" ht="46.9" hidden="1" customHeight="1">
      <c r="A19" s="7" t="s">
        <v>300</v>
      </c>
      <c r="B19" s="4">
        <v>1100174</v>
      </c>
      <c r="C19" s="3"/>
      <c r="D19" s="9" t="s">
        <v>306</v>
      </c>
      <c r="E19" s="4">
        <v>4</v>
      </c>
      <c r="F19" s="10"/>
      <c r="G19" s="3">
        <f>3.35*F19</f>
        <v>0</v>
      </c>
      <c r="H19" s="3">
        <f>0.023751*F19</f>
        <v>0</v>
      </c>
      <c r="I19" s="3"/>
      <c r="J19" s="3" t="s">
        <v>299</v>
      </c>
    </row>
    <row r="20" spans="1:10" ht="46.9" hidden="1" customHeight="1">
      <c r="A20" s="7" t="s">
        <v>300</v>
      </c>
      <c r="B20" s="4">
        <v>1100175</v>
      </c>
      <c r="C20" s="3"/>
      <c r="D20" s="9" t="s">
        <v>307</v>
      </c>
      <c r="E20" s="4">
        <v>4</v>
      </c>
      <c r="F20" s="10"/>
      <c r="G20" s="3">
        <f>4*F20</f>
        <v>0</v>
      </c>
      <c r="H20" s="3">
        <f>0.0305*F20</f>
        <v>0</v>
      </c>
      <c r="I20" s="3"/>
      <c r="J20" s="3" t="s">
        <v>299</v>
      </c>
    </row>
    <row r="21" spans="1:10" ht="46.9" hidden="1" customHeight="1">
      <c r="A21" s="7" t="s">
        <v>300</v>
      </c>
      <c r="B21" s="4">
        <v>1100178</v>
      </c>
      <c r="C21" s="3"/>
      <c r="D21" s="9" t="s">
        <v>308</v>
      </c>
      <c r="E21" s="4">
        <v>1</v>
      </c>
      <c r="F21" s="10"/>
      <c r="G21" s="3">
        <f>13.4*F21</f>
        <v>0</v>
      </c>
      <c r="H21" s="3">
        <f>0.06882*F21</f>
        <v>0</v>
      </c>
      <c r="I21" s="3"/>
      <c r="J21" s="3" t="s">
        <v>299</v>
      </c>
    </row>
    <row r="22" spans="1:10" ht="46.9" hidden="1" customHeight="1">
      <c r="A22" s="7" t="s">
        <v>300</v>
      </c>
      <c r="B22" s="4">
        <v>1112100</v>
      </c>
      <c r="C22" s="3"/>
      <c r="D22" s="9" t="s">
        <v>309</v>
      </c>
      <c r="E22" s="4">
        <v>2</v>
      </c>
      <c r="F22" s="10"/>
      <c r="G22" s="3">
        <f>9.4*F22</f>
        <v>0</v>
      </c>
      <c r="H22" s="3">
        <f>0.051968*F22</f>
        <v>0</v>
      </c>
      <c r="I22" s="3"/>
      <c r="J22" s="3" t="s">
        <v>299</v>
      </c>
    </row>
    <row r="23" spans="1:10" ht="46.9" hidden="1" customHeight="1">
      <c r="A23" s="7" t="s">
        <v>300</v>
      </c>
      <c r="B23" s="4">
        <v>1301052</v>
      </c>
      <c r="C23" s="3"/>
      <c r="D23" s="9" t="s">
        <v>310</v>
      </c>
      <c r="E23" s="4">
        <v>12</v>
      </c>
      <c r="F23" s="10"/>
      <c r="G23" s="3">
        <f>0.11*F23</f>
        <v>0</v>
      </c>
      <c r="H23" s="3">
        <f>0.000358438*F23</f>
        <v>0</v>
      </c>
      <c r="I23" s="3"/>
      <c r="J23" s="3" t="s">
        <v>299</v>
      </c>
    </row>
    <row r="24" spans="1:10" ht="46.9" hidden="1" customHeight="1">
      <c r="A24" s="7" t="s">
        <v>300</v>
      </c>
      <c r="B24" s="4">
        <v>1301054</v>
      </c>
      <c r="C24" s="3"/>
      <c r="D24" s="9" t="s">
        <v>311</v>
      </c>
      <c r="E24" s="4">
        <v>12</v>
      </c>
      <c r="F24" s="10"/>
      <c r="G24" s="3">
        <f>0.15*F24</f>
        <v>0</v>
      </c>
      <c r="H24" s="3">
        <f>0.0005125*F24</f>
        <v>0</v>
      </c>
      <c r="I24" s="3"/>
      <c r="J24" s="3" t="s">
        <v>299</v>
      </c>
    </row>
    <row r="25" spans="1:10" ht="46.9" hidden="1" customHeight="1">
      <c r="A25" s="7" t="s">
        <v>300</v>
      </c>
      <c r="B25" s="4">
        <v>1301055</v>
      </c>
      <c r="C25" s="3"/>
      <c r="D25" s="9" t="s">
        <v>312</v>
      </c>
      <c r="E25" s="4">
        <v>12</v>
      </c>
      <c r="F25" s="10"/>
      <c r="G25" s="3">
        <f>0.26*F25</f>
        <v>0</v>
      </c>
      <c r="H25" s="3">
        <f>0.000809375*F25</f>
        <v>0</v>
      </c>
      <c r="I25" s="3"/>
      <c r="J25" s="3" t="s">
        <v>299</v>
      </c>
    </row>
    <row r="26" spans="1:10" ht="46.9" hidden="1" customHeight="1">
      <c r="A26" s="7" t="s">
        <v>300</v>
      </c>
      <c r="B26" s="4">
        <v>1301056</v>
      </c>
      <c r="C26" s="3"/>
      <c r="D26" s="9" t="s">
        <v>313</v>
      </c>
      <c r="E26" s="4">
        <v>6</v>
      </c>
      <c r="F26" s="10"/>
      <c r="G26" s="3">
        <f>0.57*F26</f>
        <v>0</v>
      </c>
      <c r="H26" s="3">
        <f>0.00068*F26</f>
        <v>0</v>
      </c>
      <c r="I26" s="3"/>
      <c r="J26" s="3" t="s">
        <v>299</v>
      </c>
    </row>
    <row r="27" spans="1:10" ht="46.9" hidden="1" customHeight="1">
      <c r="A27" s="7" t="s">
        <v>300</v>
      </c>
      <c r="B27" s="4">
        <v>1301057</v>
      </c>
      <c r="C27" s="3"/>
      <c r="D27" s="9" t="s">
        <v>314</v>
      </c>
      <c r="E27" s="4">
        <v>12</v>
      </c>
      <c r="F27" s="10"/>
      <c r="G27" s="3">
        <f>0.19*F27</f>
        <v>0</v>
      </c>
      <c r="H27" s="3">
        <f>0.00066*F27</f>
        <v>0</v>
      </c>
      <c r="I27" s="3"/>
      <c r="J27" s="3" t="s">
        <v>299</v>
      </c>
    </row>
    <row r="28" spans="1:10" ht="46.9" hidden="1" customHeight="1">
      <c r="A28" s="7" t="s">
        <v>300</v>
      </c>
      <c r="B28" s="4">
        <v>1301059</v>
      </c>
      <c r="C28" s="3"/>
      <c r="D28" s="9" t="s">
        <v>315</v>
      </c>
      <c r="E28" s="4">
        <v>12</v>
      </c>
      <c r="F28" s="10"/>
      <c r="G28" s="3">
        <f>0.19*F28</f>
        <v>0</v>
      </c>
      <c r="H28" s="3">
        <f>0.001052188*F28</f>
        <v>0</v>
      </c>
      <c r="I28" s="3"/>
      <c r="J28" s="3" t="s">
        <v>299</v>
      </c>
    </row>
    <row r="29" spans="1:10" ht="46.9" hidden="1" customHeight="1">
      <c r="A29" s="7" t="s">
        <v>300</v>
      </c>
      <c r="B29" s="4">
        <v>1301058</v>
      </c>
      <c r="C29" s="3"/>
      <c r="D29" s="9" t="s">
        <v>316</v>
      </c>
      <c r="E29" s="4">
        <v>12</v>
      </c>
      <c r="F29" s="10"/>
      <c r="G29" s="3">
        <f>0.14*F29</f>
        <v>0</v>
      </c>
      <c r="H29" s="3">
        <f>0.000352688*F29</f>
        <v>0</v>
      </c>
      <c r="I29" s="3"/>
      <c r="J29" s="3" t="s">
        <v>299</v>
      </c>
    </row>
    <row r="30" spans="1:10" ht="46.9" hidden="1" customHeight="1">
      <c r="A30" s="7" t="s">
        <v>300</v>
      </c>
      <c r="B30" s="4">
        <v>1301060</v>
      </c>
      <c r="C30" s="3"/>
      <c r="D30" s="9" t="s">
        <v>317</v>
      </c>
      <c r="E30" s="4">
        <v>12</v>
      </c>
      <c r="F30" s="10"/>
      <c r="G30" s="3">
        <f>0.21*F30</f>
        <v>0</v>
      </c>
      <c r="H30" s="3">
        <f>0.000823333*F30</f>
        <v>0</v>
      </c>
      <c r="I30" s="3"/>
      <c r="J30" s="3" t="s">
        <v>299</v>
      </c>
    </row>
    <row r="31" spans="1:10" ht="46.9" hidden="1" customHeight="1">
      <c r="A31" s="7" t="s">
        <v>300</v>
      </c>
      <c r="B31" s="4">
        <v>1301061</v>
      </c>
      <c r="C31" s="3"/>
      <c r="D31" s="9" t="s">
        <v>318</v>
      </c>
      <c r="E31" s="4">
        <v>12</v>
      </c>
      <c r="F31" s="10"/>
      <c r="G31" s="3">
        <f>0.18*F31</f>
        <v>0</v>
      </c>
      <c r="H31" s="3">
        <f>0.000678333*F31</f>
        <v>0</v>
      </c>
      <c r="I31" s="3"/>
      <c r="J31" s="3" t="s">
        <v>299</v>
      </c>
    </row>
    <row r="32" spans="1:10" ht="46.9" hidden="1" customHeight="1">
      <c r="A32" s="7" t="s">
        <v>300</v>
      </c>
      <c r="B32" s="4">
        <v>1301062</v>
      </c>
      <c r="C32" s="3"/>
      <c r="D32" s="9" t="s">
        <v>319</v>
      </c>
      <c r="E32" s="4">
        <v>12</v>
      </c>
      <c r="F32" s="10"/>
      <c r="G32" s="3">
        <f>0.2*F32</f>
        <v>0</v>
      </c>
      <c r="H32" s="3">
        <f>0.00081*F32</f>
        <v>0</v>
      </c>
      <c r="I32" s="3"/>
      <c r="J32" s="3" t="s">
        <v>299</v>
      </c>
    </row>
    <row r="33" spans="1:10" ht="46.9" hidden="1" customHeight="1">
      <c r="A33" s="7" t="s">
        <v>300</v>
      </c>
      <c r="B33" s="4">
        <v>1301063</v>
      </c>
      <c r="C33" s="3"/>
      <c r="D33" s="9" t="s">
        <v>320</v>
      </c>
      <c r="E33" s="4">
        <v>12</v>
      </c>
      <c r="F33" s="10"/>
      <c r="G33" s="3">
        <f>0.22*F33</f>
        <v>0</v>
      </c>
      <c r="H33" s="3">
        <f>0.000821708*F33</f>
        <v>0</v>
      </c>
      <c r="I33" s="3"/>
      <c r="J33" s="3" t="s">
        <v>299</v>
      </c>
    </row>
    <row r="34" spans="1:10" ht="46.9" hidden="1" customHeight="1">
      <c r="A34" s="7" t="s">
        <v>300</v>
      </c>
      <c r="B34" s="4">
        <v>1301064</v>
      </c>
      <c r="C34" s="3"/>
      <c r="D34" s="9" t="s">
        <v>321</v>
      </c>
      <c r="E34" s="4">
        <v>12</v>
      </c>
      <c r="F34" s="10"/>
      <c r="G34" s="3">
        <f>0.26*F34</f>
        <v>0</v>
      </c>
      <c r="H34" s="3">
        <f>0.043992*F34</f>
        <v>0</v>
      </c>
      <c r="I34" s="3"/>
      <c r="J34" s="3" t="s">
        <v>299</v>
      </c>
    </row>
    <row r="35" spans="1:10" ht="46.9" hidden="1" customHeight="1">
      <c r="A35" s="7" t="s">
        <v>300</v>
      </c>
      <c r="B35" s="4">
        <v>1301065</v>
      </c>
      <c r="C35" s="3"/>
      <c r="D35" s="9" t="s">
        <v>322</v>
      </c>
      <c r="E35" s="4">
        <v>12</v>
      </c>
      <c r="F35" s="10"/>
      <c r="G35" s="3">
        <f>0.19*F35</f>
        <v>0</v>
      </c>
      <c r="H35" s="3">
        <f>0.000702*F35</f>
        <v>0</v>
      </c>
      <c r="I35" s="3"/>
      <c r="J35" s="3" t="s">
        <v>299</v>
      </c>
    </row>
    <row r="36" spans="1:10" ht="46.9" hidden="1" customHeight="1">
      <c r="A36" s="7" t="s">
        <v>300</v>
      </c>
      <c r="B36" s="4">
        <v>1301066</v>
      </c>
      <c r="C36" s="3"/>
      <c r="D36" s="9" t="s">
        <v>323</v>
      </c>
      <c r="E36" s="4">
        <v>12</v>
      </c>
      <c r="F36" s="10"/>
      <c r="G36" s="3">
        <f>0.14*F36</f>
        <v>0</v>
      </c>
      <c r="H36" s="3">
        <f>0.0011375*F36</f>
        <v>0</v>
      </c>
      <c r="I36" s="3"/>
      <c r="J36" s="3" t="s">
        <v>299</v>
      </c>
    </row>
    <row r="37" spans="1:10" ht="46.9" hidden="1" customHeight="1">
      <c r="A37" s="7" t="s">
        <v>300</v>
      </c>
      <c r="B37" s="4">
        <v>1308055</v>
      </c>
      <c r="C37" s="3"/>
      <c r="D37" s="9" t="s">
        <v>324</v>
      </c>
      <c r="E37" s="4">
        <v>4</v>
      </c>
      <c r="F37" s="10"/>
      <c r="G37" s="3">
        <f>1.92*F37</f>
        <v>0</v>
      </c>
      <c r="H37" s="3">
        <f>0.02612025*F37</f>
        <v>0</v>
      </c>
      <c r="I37" s="3"/>
      <c r="J37" s="3" t="s">
        <v>299</v>
      </c>
    </row>
    <row r="38" spans="1:10" ht="46.9" hidden="1" customHeight="1">
      <c r="A38" s="7" t="s">
        <v>300</v>
      </c>
      <c r="B38" s="4">
        <v>3990020</v>
      </c>
      <c r="C38" s="3"/>
      <c r="D38" s="9" t="s">
        <v>325</v>
      </c>
      <c r="E38" s="4">
        <v>1</v>
      </c>
      <c r="F38" s="10"/>
      <c r="G38" s="3">
        <f>0.37*F38</f>
        <v>0</v>
      </c>
      <c r="H38" s="3">
        <f>0.0033075*F38</f>
        <v>0</v>
      </c>
      <c r="I38" s="3"/>
      <c r="J38" s="3" t="s">
        <v>299</v>
      </c>
    </row>
    <row r="39" spans="1:10" ht="46.9" hidden="1" customHeight="1">
      <c r="A39" s="7" t="s">
        <v>300</v>
      </c>
      <c r="B39" s="4">
        <v>3990021</v>
      </c>
      <c r="C39" s="3"/>
      <c r="D39" s="9" t="s">
        <v>326</v>
      </c>
      <c r="E39" s="4">
        <v>1</v>
      </c>
      <c r="F39" s="10"/>
      <c r="G39" s="3">
        <f>0.17*F39</f>
        <v>0</v>
      </c>
      <c r="H39" s="3">
        <f>0.001596*F39</f>
        <v>0</v>
      </c>
      <c r="I39" s="3"/>
      <c r="J39" s="3" t="s">
        <v>299</v>
      </c>
    </row>
    <row r="40" spans="1:10" ht="46.9" hidden="1" customHeight="1">
      <c r="A40" s="7" t="s">
        <v>300</v>
      </c>
      <c r="B40" s="4">
        <v>3990022</v>
      </c>
      <c r="C40" s="3"/>
      <c r="D40" s="9" t="s">
        <v>327</v>
      </c>
      <c r="E40" s="4">
        <v>1</v>
      </c>
      <c r="F40" s="10"/>
      <c r="G40" s="3">
        <f>0.33*F40</f>
        <v>0</v>
      </c>
      <c r="H40" s="3">
        <f>0.00156*F40</f>
        <v>0</v>
      </c>
      <c r="I40" s="3"/>
      <c r="J40" s="3" t="s">
        <v>299</v>
      </c>
    </row>
    <row r="41" spans="1:10" ht="46.9" hidden="1" customHeight="1">
      <c r="A41" s="7" t="s">
        <v>300</v>
      </c>
      <c r="B41" s="4">
        <v>3990023</v>
      </c>
      <c r="C41" s="3"/>
      <c r="D41" s="9" t="s">
        <v>328</v>
      </c>
      <c r="E41" s="4">
        <v>1</v>
      </c>
      <c r="F41" s="10"/>
      <c r="G41" s="3">
        <f>0.16*F41</f>
        <v>0</v>
      </c>
      <c r="H41" s="3">
        <f>0.000968*F41</f>
        <v>0</v>
      </c>
      <c r="I41" s="3"/>
      <c r="J41" s="3" t="s">
        <v>299</v>
      </c>
    </row>
    <row r="42" spans="1:10" ht="46.9" hidden="1" customHeight="1">
      <c r="A42" s="7" t="s">
        <v>300</v>
      </c>
      <c r="B42" s="4">
        <v>3990024</v>
      </c>
      <c r="C42" s="3"/>
      <c r="D42" s="9" t="s">
        <v>329</v>
      </c>
      <c r="E42" s="4">
        <v>1</v>
      </c>
      <c r="F42" s="10"/>
      <c r="G42" s="3">
        <f>0.21*F42</f>
        <v>0</v>
      </c>
      <c r="H42" s="3">
        <f>0.0012675*F42</f>
        <v>0</v>
      </c>
      <c r="I42" s="3"/>
      <c r="J42" s="3" t="s">
        <v>299</v>
      </c>
    </row>
    <row r="43" spans="1:10" ht="46.9" hidden="1" customHeight="1">
      <c r="A43" s="7" t="s">
        <v>300</v>
      </c>
      <c r="B43" s="4">
        <v>3990025</v>
      </c>
      <c r="C43" s="3"/>
      <c r="D43" s="9" t="s">
        <v>330</v>
      </c>
      <c r="E43" s="4">
        <v>1</v>
      </c>
      <c r="F43" s="10"/>
      <c r="G43" s="3">
        <f>0.21*F43</f>
        <v>0</v>
      </c>
      <c r="H43" s="3">
        <f>0.0008008*F43</f>
        <v>0</v>
      </c>
      <c r="I43" s="3"/>
      <c r="J43" s="3" t="s">
        <v>299</v>
      </c>
    </row>
    <row r="44" spans="1:10" ht="46.9" hidden="1" customHeight="1">
      <c r="A44" s="7" t="s">
        <v>300</v>
      </c>
      <c r="B44" s="4">
        <v>3990026</v>
      </c>
      <c r="C44" s="3"/>
      <c r="D44" s="9" t="s">
        <v>331</v>
      </c>
      <c r="E44" s="4">
        <v>30</v>
      </c>
      <c r="F44" s="10"/>
      <c r="G44" s="3">
        <f>0.24*F44</f>
        <v>0</v>
      </c>
      <c r="H44" s="3">
        <f>0.001829067*F44</f>
        <v>0</v>
      </c>
      <c r="I44" s="3"/>
      <c r="J44" s="3" t="s">
        <v>299</v>
      </c>
    </row>
    <row r="45" spans="1:10" ht="46.9" hidden="1" customHeight="1">
      <c r="A45" s="7" t="s">
        <v>300</v>
      </c>
      <c r="B45" s="4">
        <v>3990027</v>
      </c>
      <c r="C45" s="3"/>
      <c r="D45" s="9" t="s">
        <v>332</v>
      </c>
      <c r="E45" s="4">
        <v>30</v>
      </c>
      <c r="F45" s="10"/>
      <c r="G45" s="3">
        <f>0.21*F45</f>
        <v>0</v>
      </c>
      <c r="H45" s="3">
        <f>0.0012675*F45</f>
        <v>0</v>
      </c>
      <c r="I45" s="3"/>
      <c r="J45" s="3" t="s">
        <v>299</v>
      </c>
    </row>
    <row r="46" spans="1:10" ht="46.9" hidden="1" customHeight="1">
      <c r="A46" s="7" t="s">
        <v>300</v>
      </c>
      <c r="B46" s="4">
        <v>3950148</v>
      </c>
      <c r="C46" s="3"/>
      <c r="D46" s="9" t="s">
        <v>333</v>
      </c>
      <c r="E46" s="4">
        <v>12</v>
      </c>
      <c r="F46" s="10"/>
      <c r="G46" s="3">
        <f>0.29*F46</f>
        <v>0</v>
      </c>
      <c r="H46" s="3">
        <f>0.002085333*F46</f>
        <v>0</v>
      </c>
      <c r="I46" s="3"/>
      <c r="J46" s="3" t="s">
        <v>299</v>
      </c>
    </row>
    <row r="47" spans="1:10" ht="46.9" hidden="1" customHeight="1">
      <c r="A47" s="7" t="s">
        <v>300</v>
      </c>
      <c r="B47" s="4">
        <v>3990001</v>
      </c>
      <c r="C47" s="3"/>
      <c r="D47" s="9" t="s">
        <v>334</v>
      </c>
      <c r="E47" s="4">
        <v>5</v>
      </c>
      <c r="F47" s="10"/>
      <c r="G47" s="3">
        <f>0.52*F47</f>
        <v>0</v>
      </c>
      <c r="H47" s="3">
        <f>0.001736*F47</f>
        <v>0</v>
      </c>
      <c r="I47" s="3"/>
      <c r="J47" s="3" t="s">
        <v>299</v>
      </c>
    </row>
    <row r="48" spans="1:10" ht="46.9" hidden="1" customHeight="1">
      <c r="A48" s="7" t="s">
        <v>300</v>
      </c>
      <c r="B48" s="4">
        <v>3990002</v>
      </c>
      <c r="C48" s="3"/>
      <c r="D48" s="9" t="s">
        <v>335</v>
      </c>
      <c r="E48" s="4">
        <v>5</v>
      </c>
      <c r="F48" s="10"/>
      <c r="G48" s="3">
        <f>0.78*F48</f>
        <v>0</v>
      </c>
      <c r="H48" s="3">
        <f>0.002542*F48</f>
        <v>0</v>
      </c>
      <c r="I48" s="3"/>
      <c r="J48" s="3" t="s">
        <v>299</v>
      </c>
    </row>
    <row r="49" spans="1:10" ht="46.9" hidden="1" customHeight="1">
      <c r="A49" s="7" t="s">
        <v>300</v>
      </c>
      <c r="B49" s="4">
        <v>3990003</v>
      </c>
      <c r="C49" s="3"/>
      <c r="D49" s="9" t="s">
        <v>336</v>
      </c>
      <c r="E49" s="4">
        <v>5</v>
      </c>
      <c r="F49" s="10"/>
      <c r="G49" s="3">
        <f>0.92*F49</f>
        <v>0</v>
      </c>
      <c r="H49" s="3">
        <f>0.002343333*F49</f>
        <v>0</v>
      </c>
      <c r="I49" s="3"/>
      <c r="J49" s="3" t="s">
        <v>299</v>
      </c>
    </row>
    <row r="50" spans="1:10" ht="46.9" hidden="1" customHeight="1">
      <c r="A50" s="7" t="s">
        <v>300</v>
      </c>
      <c r="B50" s="4">
        <v>3990004</v>
      </c>
      <c r="C50" s="3"/>
      <c r="D50" s="9" t="s">
        <v>337</v>
      </c>
      <c r="E50" s="4">
        <v>5</v>
      </c>
      <c r="F50" s="10"/>
      <c r="G50" s="3">
        <f>0.62*F50</f>
        <v>0</v>
      </c>
      <c r="H50" s="3">
        <f>0.001688467*F50</f>
        <v>0</v>
      </c>
      <c r="I50" s="3"/>
      <c r="J50" s="3" t="s">
        <v>299</v>
      </c>
    </row>
    <row r="51" spans="1:10" ht="46.9" hidden="1" customHeight="1">
      <c r="A51" s="7" t="s">
        <v>300</v>
      </c>
      <c r="B51" s="4">
        <v>3990005</v>
      </c>
      <c r="C51" s="3"/>
      <c r="D51" s="9" t="s">
        <v>338</v>
      </c>
      <c r="E51" s="4">
        <v>4</v>
      </c>
      <c r="F51" s="10"/>
      <c r="G51" s="3">
        <f>0.8*F51</f>
        <v>0</v>
      </c>
      <c r="H51" s="3">
        <f>0.0042*F51</f>
        <v>0</v>
      </c>
      <c r="I51" s="3"/>
      <c r="J51" s="3" t="s">
        <v>299</v>
      </c>
    </row>
    <row r="52" spans="1:10" ht="46.9" hidden="1" customHeight="1">
      <c r="A52" s="7" t="s">
        <v>300</v>
      </c>
      <c r="B52" s="4">
        <v>3990006</v>
      </c>
      <c r="C52" s="3"/>
      <c r="D52" s="9" t="s">
        <v>339</v>
      </c>
      <c r="E52" s="4">
        <v>4</v>
      </c>
      <c r="F52" s="10"/>
      <c r="G52" s="3">
        <f>1.18*F52</f>
        <v>0</v>
      </c>
      <c r="H52" s="3">
        <f>0.007844*F52</f>
        <v>0</v>
      </c>
      <c r="I52" s="3"/>
      <c r="J52" s="3" t="s">
        <v>299</v>
      </c>
    </row>
    <row r="53" spans="1:10" ht="46.9" hidden="1" customHeight="1">
      <c r="A53" s="7" t="s">
        <v>300</v>
      </c>
      <c r="B53" s="4">
        <v>3990007</v>
      </c>
      <c r="C53" s="3"/>
      <c r="D53" s="9" t="s">
        <v>340</v>
      </c>
      <c r="E53" s="4">
        <v>5</v>
      </c>
      <c r="F53" s="10"/>
      <c r="G53" s="3">
        <f>0.44*F53</f>
        <v>0</v>
      </c>
      <c r="H53" s="3">
        <f>0.002487467*F53</f>
        <v>0</v>
      </c>
      <c r="I53" s="3"/>
      <c r="J53" s="3" t="s">
        <v>299</v>
      </c>
    </row>
    <row r="54" spans="1:10" ht="46.9" hidden="1" customHeight="1">
      <c r="A54" s="7" t="s">
        <v>300</v>
      </c>
      <c r="B54" s="4">
        <v>3990008</v>
      </c>
      <c r="C54" s="3"/>
      <c r="D54" s="9" t="s">
        <v>341</v>
      </c>
      <c r="E54" s="4">
        <v>5</v>
      </c>
      <c r="F54" s="10"/>
      <c r="G54" s="3">
        <f>0.56*F54</f>
        <v>0</v>
      </c>
      <c r="H54" s="3">
        <f>0.001499733*F54</f>
        <v>0</v>
      </c>
      <c r="I54" s="3"/>
      <c r="J54" s="3" t="s">
        <v>299</v>
      </c>
    </row>
    <row r="55" spans="1:10" ht="46.9" hidden="1" customHeight="1">
      <c r="A55" s="7" t="s">
        <v>300</v>
      </c>
      <c r="B55" s="4">
        <v>3990009</v>
      </c>
      <c r="C55" s="3"/>
      <c r="D55" s="9" t="s">
        <v>342</v>
      </c>
      <c r="E55" s="4">
        <v>5</v>
      </c>
      <c r="F55" s="10"/>
      <c r="G55" s="3">
        <f>0.53*F55</f>
        <v>0</v>
      </c>
      <c r="H55" s="3">
        <f>0.001668267*F55</f>
        <v>0</v>
      </c>
      <c r="I55" s="3"/>
      <c r="J55" s="3" t="s">
        <v>299</v>
      </c>
    </row>
    <row r="56" spans="1:10" ht="46.9" hidden="1" customHeight="1">
      <c r="A56" s="7" t="s">
        <v>300</v>
      </c>
      <c r="B56" s="4">
        <v>3990010</v>
      </c>
      <c r="C56" s="3"/>
      <c r="D56" s="9" t="s">
        <v>343</v>
      </c>
      <c r="E56" s="4">
        <v>5</v>
      </c>
      <c r="F56" s="10"/>
      <c r="G56" s="3">
        <f>0.45*F56</f>
        <v>0</v>
      </c>
      <c r="H56" s="3">
        <f>0.001736*F56</f>
        <v>0</v>
      </c>
      <c r="I56" s="3"/>
      <c r="J56" s="3" t="s">
        <v>299</v>
      </c>
    </row>
    <row r="57" spans="1:10" ht="46.9" hidden="1" customHeight="1">
      <c r="A57" s="7" t="s">
        <v>300</v>
      </c>
      <c r="B57" s="4">
        <v>3990011</v>
      </c>
      <c r="C57" s="3"/>
      <c r="D57" s="9" t="s">
        <v>344</v>
      </c>
      <c r="E57" s="4">
        <v>4</v>
      </c>
      <c r="F57" s="10"/>
      <c r="G57" s="3">
        <f>0.78*F57</f>
        <v>0</v>
      </c>
      <c r="H57" s="3">
        <f>0.005887*F57</f>
        <v>0</v>
      </c>
      <c r="I57" s="3"/>
      <c r="J57" s="3" t="s">
        <v>299</v>
      </c>
    </row>
    <row r="58" spans="1:10" ht="46.9" hidden="1" customHeight="1">
      <c r="A58" s="7" t="s">
        <v>300</v>
      </c>
      <c r="B58" s="4">
        <v>3990012</v>
      </c>
      <c r="C58" s="3"/>
      <c r="D58" s="9" t="s">
        <v>345</v>
      </c>
      <c r="E58" s="4">
        <v>5</v>
      </c>
      <c r="F58" s="10"/>
      <c r="G58" s="3">
        <f>0.49*F58</f>
        <v>0</v>
      </c>
      <c r="H58" s="3">
        <f>0.0016302*F58</f>
        <v>0</v>
      </c>
      <c r="I58" s="3"/>
      <c r="J58" s="3" t="s">
        <v>299</v>
      </c>
    </row>
    <row r="59" spans="1:10" ht="46.9" hidden="1" customHeight="1">
      <c r="A59" s="7" t="s">
        <v>300</v>
      </c>
      <c r="B59" s="4">
        <v>3990013</v>
      </c>
      <c r="C59" s="3"/>
      <c r="D59" s="9" t="s">
        <v>345</v>
      </c>
      <c r="E59" s="4">
        <v>5</v>
      </c>
      <c r="F59" s="10"/>
      <c r="G59" s="3">
        <f>0.51*F59</f>
        <v>0</v>
      </c>
      <c r="H59" s="3">
        <f>0.0015392*F59</f>
        <v>0</v>
      </c>
      <c r="I59" s="3"/>
      <c r="J59" s="3" t="s">
        <v>299</v>
      </c>
    </row>
    <row r="60" spans="1:10" ht="46.9" hidden="1" customHeight="1">
      <c r="A60" s="7" t="s">
        <v>300</v>
      </c>
      <c r="B60" s="4">
        <v>3950136</v>
      </c>
      <c r="C60" s="3"/>
      <c r="D60" s="9" t="s">
        <v>346</v>
      </c>
      <c r="E60" s="4">
        <v>12</v>
      </c>
      <c r="F60" s="10"/>
      <c r="G60" s="3">
        <f>0.34*F60</f>
        <v>0</v>
      </c>
      <c r="H60" s="3">
        <f>0.00116*F60</f>
        <v>0</v>
      </c>
      <c r="I60" s="3"/>
      <c r="J60" s="3" t="s">
        <v>299</v>
      </c>
    </row>
    <row r="61" spans="1:10" ht="46.9" hidden="1" customHeight="1">
      <c r="A61" s="7" t="s">
        <v>300</v>
      </c>
      <c r="B61" s="4">
        <v>3950141</v>
      </c>
      <c r="C61" s="3"/>
      <c r="D61" s="9" t="s">
        <v>347</v>
      </c>
      <c r="E61" s="4">
        <v>12</v>
      </c>
      <c r="F61" s="10"/>
      <c r="G61" s="3">
        <f>0.38*F61</f>
        <v>0</v>
      </c>
      <c r="H61" s="3">
        <f>0.005066667*F61</f>
        <v>0</v>
      </c>
      <c r="I61" s="3"/>
      <c r="J61" s="3" t="s">
        <v>299</v>
      </c>
    </row>
    <row r="62" spans="1:10" ht="46.9" hidden="1" customHeight="1">
      <c r="A62" s="7" t="s">
        <v>300</v>
      </c>
      <c r="B62" s="4">
        <v>3950142</v>
      </c>
      <c r="C62" s="3"/>
      <c r="D62" s="9" t="s">
        <v>348</v>
      </c>
      <c r="E62" s="4">
        <v>6</v>
      </c>
      <c r="F62" s="10"/>
      <c r="G62" s="3">
        <f>0.21*F62</f>
        <v>0</v>
      </c>
      <c r="H62" s="3">
        <f>0.0013*F62</f>
        <v>0</v>
      </c>
      <c r="I62" s="3"/>
      <c r="J62" s="3" t="s">
        <v>299</v>
      </c>
    </row>
    <row r="63" spans="1:10" ht="46.9" hidden="1" customHeight="1">
      <c r="A63" s="7" t="s">
        <v>300</v>
      </c>
      <c r="B63" s="4">
        <v>3950143</v>
      </c>
      <c r="C63" s="3"/>
      <c r="D63" s="9" t="s">
        <v>349</v>
      </c>
      <c r="E63" s="4">
        <v>6</v>
      </c>
      <c r="F63" s="10"/>
      <c r="G63" s="3">
        <f>0.27*F63</f>
        <v>0</v>
      </c>
      <c r="H63" s="3">
        <f>0.0024*F63</f>
        <v>0</v>
      </c>
      <c r="I63" s="3"/>
      <c r="J63" s="3" t="s">
        <v>299</v>
      </c>
    </row>
    <row r="64" spans="1:10" ht="46.9" hidden="1" customHeight="1">
      <c r="A64" s="7" t="s">
        <v>300</v>
      </c>
      <c r="B64" s="4">
        <v>3950144</v>
      </c>
      <c r="C64" s="3"/>
      <c r="D64" s="9" t="s">
        <v>350</v>
      </c>
      <c r="E64" s="4">
        <v>6</v>
      </c>
      <c r="F64" s="10"/>
      <c r="G64" s="3">
        <f>0.33*F64</f>
        <v>0</v>
      </c>
      <c r="H64" s="3">
        <f>0.003528*F64</f>
        <v>0</v>
      </c>
      <c r="I64" s="3"/>
      <c r="J64" s="3" t="s">
        <v>299</v>
      </c>
    </row>
    <row r="65" spans="1:10" ht="46.9" hidden="1" customHeight="1">
      <c r="A65" s="7" t="s">
        <v>300</v>
      </c>
      <c r="B65" s="4">
        <v>3950145</v>
      </c>
      <c r="C65" s="3"/>
      <c r="D65" s="9" t="s">
        <v>351</v>
      </c>
      <c r="E65" s="4">
        <v>6</v>
      </c>
      <c r="F65" s="10"/>
      <c r="G65" s="3">
        <f>0.54*F65</f>
        <v>0</v>
      </c>
      <c r="H65" s="3">
        <f>0.004281333*F65</f>
        <v>0</v>
      </c>
      <c r="I65" s="3"/>
      <c r="J65" s="3" t="s">
        <v>299</v>
      </c>
    </row>
    <row r="66" spans="1:10" ht="46.9" hidden="1" customHeight="1">
      <c r="A66" s="7" t="s">
        <v>300</v>
      </c>
      <c r="B66" s="4">
        <v>1100093</v>
      </c>
      <c r="C66" s="3"/>
      <c r="D66" s="9" t="s">
        <v>352</v>
      </c>
      <c r="E66" s="4">
        <v>6</v>
      </c>
      <c r="F66" s="10"/>
      <c r="G66" s="3">
        <f>2.13*F66</f>
        <v>0</v>
      </c>
      <c r="H66" s="3">
        <f>0.0073935*F66</f>
        <v>0</v>
      </c>
      <c r="I66" s="3"/>
      <c r="J66" s="3" t="s">
        <v>299</v>
      </c>
    </row>
    <row r="67" spans="1:10" ht="46.9" hidden="1" customHeight="1">
      <c r="A67" s="7" t="s">
        <v>300</v>
      </c>
      <c r="B67" s="4">
        <v>3950036</v>
      </c>
      <c r="C67" s="3"/>
      <c r="D67" s="9" t="s">
        <v>353</v>
      </c>
      <c r="E67" s="4">
        <v>4</v>
      </c>
      <c r="F67" s="10"/>
      <c r="G67" s="3">
        <f>4.75*F67</f>
        <v>0</v>
      </c>
      <c r="H67" s="3">
        <f>0.024381*F67</f>
        <v>0</v>
      </c>
      <c r="I67" s="3"/>
      <c r="J67" s="3" t="s">
        <v>299</v>
      </c>
    </row>
    <row r="68" spans="1:10" ht="18.75" hidden="1">
      <c r="A68" s="6"/>
      <c r="B68" s="19" t="s">
        <v>354</v>
      </c>
      <c r="C68" s="20"/>
      <c r="D68" s="20"/>
      <c r="E68" s="20"/>
      <c r="F68" s="20"/>
      <c r="G68" s="20"/>
      <c r="H68" s="20"/>
      <c r="I68" s="20"/>
      <c r="J68" s="21"/>
    </row>
    <row r="69" spans="1:10" ht="46.9" hidden="1" customHeight="1">
      <c r="A69" s="7" t="s">
        <v>355</v>
      </c>
      <c r="B69" s="4">
        <v>1106030</v>
      </c>
      <c r="C69" s="3"/>
      <c r="D69" s="9" t="s">
        <v>356</v>
      </c>
      <c r="E69" s="4">
        <v>2</v>
      </c>
      <c r="F69" s="10"/>
      <c r="G69" s="3">
        <f>5.2*F69</f>
        <v>0</v>
      </c>
      <c r="H69" s="3">
        <f>0.028768*F69</f>
        <v>0</v>
      </c>
      <c r="I69" s="3"/>
      <c r="J69" s="3" t="s">
        <v>299</v>
      </c>
    </row>
    <row r="70" spans="1:10" ht="46.9" hidden="1" customHeight="1">
      <c r="A70" s="7" t="s">
        <v>355</v>
      </c>
      <c r="B70" s="4">
        <v>1106031</v>
      </c>
      <c r="C70" s="3"/>
      <c r="D70" s="9" t="s">
        <v>357</v>
      </c>
      <c r="E70" s="4">
        <v>2</v>
      </c>
      <c r="F70" s="10"/>
      <c r="G70" s="3">
        <f>4.45*F70</f>
        <v>0</v>
      </c>
      <c r="H70" s="3">
        <f>0.025984*F70</f>
        <v>0</v>
      </c>
      <c r="I70" s="3"/>
      <c r="J70" s="3" t="s">
        <v>299</v>
      </c>
    </row>
    <row r="71" spans="1:10" ht="46.9" hidden="1" customHeight="1">
      <c r="A71" s="7" t="s">
        <v>355</v>
      </c>
      <c r="B71" s="4">
        <v>1106032</v>
      </c>
      <c r="C71" s="3"/>
      <c r="D71" s="9" t="s">
        <v>358</v>
      </c>
      <c r="E71" s="4">
        <v>2</v>
      </c>
      <c r="F71" s="10"/>
      <c r="G71" s="3">
        <f>4.65*F71</f>
        <v>0</v>
      </c>
      <c r="H71" s="3">
        <f>0.02744*F71</f>
        <v>0</v>
      </c>
      <c r="I71" s="3"/>
      <c r="J71" s="3" t="s">
        <v>299</v>
      </c>
    </row>
    <row r="72" spans="1:10" ht="46.9" hidden="1" customHeight="1">
      <c r="A72" s="7" t="s">
        <v>355</v>
      </c>
      <c r="B72" s="4">
        <v>1100890</v>
      </c>
      <c r="C72" s="3"/>
      <c r="D72" s="9" t="s">
        <v>359</v>
      </c>
      <c r="E72" s="4">
        <v>1</v>
      </c>
      <c r="F72" s="10"/>
      <c r="G72" s="3">
        <f>11.14*F72</f>
        <v>0</v>
      </c>
      <c r="H72" s="3">
        <f>0.06398875*F72</f>
        <v>0</v>
      </c>
      <c r="I72" s="3"/>
      <c r="J72" s="3" t="s">
        <v>299</v>
      </c>
    </row>
    <row r="73" spans="1:10" ht="46.9" hidden="1" customHeight="1">
      <c r="A73" s="7" t="s">
        <v>360</v>
      </c>
      <c r="B73" s="4">
        <v>1110005</v>
      </c>
      <c r="C73" s="3"/>
      <c r="D73" s="9" t="s">
        <v>361</v>
      </c>
      <c r="E73" s="4">
        <v>1</v>
      </c>
      <c r="F73" s="10"/>
      <c r="G73" s="3">
        <f>11.4*F73</f>
        <v>0</v>
      </c>
      <c r="H73" s="3">
        <f>0.067488*F73</f>
        <v>0</v>
      </c>
      <c r="I73" s="3"/>
      <c r="J73" s="3" t="s">
        <v>299</v>
      </c>
    </row>
    <row r="74" spans="1:10" ht="46.9" hidden="1" customHeight="1">
      <c r="A74" s="7" t="s">
        <v>300</v>
      </c>
      <c r="B74" s="4">
        <v>1101887</v>
      </c>
      <c r="C74" s="3"/>
      <c r="D74" s="9" t="s">
        <v>362</v>
      </c>
      <c r="E74" s="4">
        <v>2</v>
      </c>
      <c r="F74" s="10"/>
      <c r="G74" s="3">
        <f>7.96*F74</f>
        <v>0</v>
      </c>
      <c r="H74" s="3">
        <f>0.046953*F74</f>
        <v>0</v>
      </c>
      <c r="I74" s="3"/>
      <c r="J74" s="3" t="s">
        <v>299</v>
      </c>
    </row>
    <row r="75" spans="1:10" ht="46.9" hidden="1" customHeight="1">
      <c r="A75" s="7" t="s">
        <v>300</v>
      </c>
      <c r="B75" s="4">
        <v>1112140</v>
      </c>
      <c r="C75" s="3"/>
      <c r="D75" s="9" t="s">
        <v>363</v>
      </c>
      <c r="E75" s="4">
        <v>1</v>
      </c>
      <c r="F75" s="10"/>
      <c r="G75" s="3">
        <f>11.86*F75</f>
        <v>0</v>
      </c>
      <c r="H75" s="3">
        <f>0.06048*F75</f>
        <v>0</v>
      </c>
      <c r="I75" s="3"/>
      <c r="J75" s="3" t="s">
        <v>299</v>
      </c>
    </row>
    <row r="76" spans="1:10" ht="46.9" hidden="1" customHeight="1">
      <c r="A76" s="7" t="s">
        <v>355</v>
      </c>
      <c r="B76" s="4">
        <v>1107100</v>
      </c>
      <c r="C76" s="3"/>
      <c r="D76" s="9" t="s">
        <v>364</v>
      </c>
      <c r="E76" s="4">
        <v>2</v>
      </c>
      <c r="F76" s="10"/>
      <c r="G76" s="3">
        <f>8.25*F76</f>
        <v>0</v>
      </c>
      <c r="H76" s="3">
        <f>0.049491*F76</f>
        <v>0</v>
      </c>
      <c r="I76" s="3"/>
      <c r="J76" s="3" t="s">
        <v>299</v>
      </c>
    </row>
    <row r="77" spans="1:10" ht="46.9" hidden="1" customHeight="1">
      <c r="A77" s="7" t="s">
        <v>355</v>
      </c>
      <c r="B77" s="4">
        <v>1111003</v>
      </c>
      <c r="C77" s="3"/>
      <c r="D77" s="9" t="s">
        <v>365</v>
      </c>
      <c r="E77" s="4">
        <v>1</v>
      </c>
      <c r="F77" s="10"/>
      <c r="G77" s="3">
        <f>11.46*F77</f>
        <v>0</v>
      </c>
      <c r="H77" s="3">
        <f>0.065090625*F77</f>
        <v>0</v>
      </c>
      <c r="I77" s="3"/>
      <c r="J77" s="3" t="s">
        <v>299</v>
      </c>
    </row>
    <row r="78" spans="1:10" ht="46.9" hidden="1" customHeight="1">
      <c r="A78" s="7" t="s">
        <v>355</v>
      </c>
      <c r="B78" s="4">
        <v>1112000</v>
      </c>
      <c r="C78" s="3"/>
      <c r="D78" s="9" t="s">
        <v>365</v>
      </c>
      <c r="E78" s="4">
        <v>1</v>
      </c>
      <c r="F78" s="10"/>
      <c r="G78" s="3">
        <f>11.25*F78</f>
        <v>0</v>
      </c>
      <c r="H78" s="3">
        <f>0.069696*F78</f>
        <v>0</v>
      </c>
      <c r="I78" s="3"/>
      <c r="J78" s="3" t="s">
        <v>299</v>
      </c>
    </row>
    <row r="79" spans="1:10" ht="46.9" hidden="1" customHeight="1">
      <c r="A79" s="7" t="s">
        <v>360</v>
      </c>
      <c r="B79" s="4">
        <v>1112005</v>
      </c>
      <c r="C79" s="3"/>
      <c r="D79" s="9" t="s">
        <v>365</v>
      </c>
      <c r="E79" s="4">
        <v>1</v>
      </c>
      <c r="F79" s="10"/>
      <c r="G79" s="3">
        <f>11.1*F79</f>
        <v>0</v>
      </c>
      <c r="H79" s="3">
        <f>0.0553575*F79</f>
        <v>0</v>
      </c>
      <c r="I79" s="3"/>
      <c r="J79" s="3" t="s">
        <v>299</v>
      </c>
    </row>
    <row r="80" spans="1:10" ht="46.9" hidden="1" customHeight="1">
      <c r="A80" s="7" t="s">
        <v>360</v>
      </c>
      <c r="B80" s="4">
        <v>1112138</v>
      </c>
      <c r="C80" s="3"/>
      <c r="D80" s="9" t="s">
        <v>365</v>
      </c>
      <c r="E80" s="4">
        <v>2</v>
      </c>
      <c r="F80" s="10"/>
      <c r="G80" s="3">
        <f>11.36*F80</f>
        <v>0</v>
      </c>
      <c r="H80" s="3">
        <f>0.056952*F80</f>
        <v>0</v>
      </c>
      <c r="I80" s="3"/>
      <c r="J80" s="3" t="s">
        <v>299</v>
      </c>
    </row>
    <row r="81" spans="1:10" ht="46.9" hidden="1" customHeight="1">
      <c r="A81" s="7" t="s">
        <v>360</v>
      </c>
      <c r="B81" s="4">
        <v>1112095</v>
      </c>
      <c r="C81" s="3"/>
      <c r="D81" s="9" t="s">
        <v>366</v>
      </c>
      <c r="E81" s="4">
        <v>2</v>
      </c>
      <c r="F81" s="10"/>
      <c r="G81" s="3">
        <f>9.45*F81</f>
        <v>0</v>
      </c>
      <c r="H81" s="3">
        <f>0.0567825*F81</f>
        <v>0</v>
      </c>
      <c r="I81" s="3"/>
      <c r="J81" s="3" t="s">
        <v>299</v>
      </c>
    </row>
    <row r="82" spans="1:10" ht="46.9" hidden="1" customHeight="1">
      <c r="A82" s="7" t="s">
        <v>360</v>
      </c>
      <c r="B82" s="4">
        <v>1112466</v>
      </c>
      <c r="C82" s="3"/>
      <c r="D82" s="9" t="s">
        <v>309</v>
      </c>
      <c r="E82" s="4">
        <v>2</v>
      </c>
      <c r="F82" s="10"/>
      <c r="G82" s="3">
        <f>10.43*F82</f>
        <v>0</v>
      </c>
      <c r="H82" s="3">
        <f>0.060021*F82</f>
        <v>0</v>
      </c>
      <c r="I82" s="3"/>
      <c r="J82" s="3" t="s">
        <v>299</v>
      </c>
    </row>
    <row r="83" spans="1:10" ht="46.9" hidden="1" customHeight="1">
      <c r="A83" s="7" t="s">
        <v>355</v>
      </c>
      <c r="B83" s="4">
        <v>1112105</v>
      </c>
      <c r="C83" s="3"/>
      <c r="D83" s="9" t="s">
        <v>367</v>
      </c>
      <c r="E83" s="4">
        <v>2</v>
      </c>
      <c r="F83" s="10"/>
      <c r="G83" s="3">
        <f>9.95*F83</f>
        <v>0</v>
      </c>
      <c r="H83" s="3">
        <f>0.051968*F83</f>
        <v>0</v>
      </c>
      <c r="I83" s="3"/>
      <c r="J83" s="3" t="s">
        <v>299</v>
      </c>
    </row>
    <row r="84" spans="1:10" ht="18.75" hidden="1">
      <c r="A84" s="6"/>
      <c r="B84" s="19" t="s">
        <v>368</v>
      </c>
      <c r="C84" s="20"/>
      <c r="D84" s="20"/>
      <c r="E84" s="20"/>
      <c r="F84" s="20"/>
      <c r="G84" s="20"/>
      <c r="H84" s="20"/>
      <c r="I84" s="20"/>
      <c r="J84" s="21"/>
    </row>
    <row r="85" spans="1:10" ht="46.9" hidden="1" customHeight="1">
      <c r="A85" s="7" t="s">
        <v>355</v>
      </c>
      <c r="B85" s="4">
        <v>1100030</v>
      </c>
      <c r="C85" s="3"/>
      <c r="D85" s="9" t="s">
        <v>369</v>
      </c>
      <c r="E85" s="4">
        <v>4</v>
      </c>
      <c r="F85" s="10"/>
      <c r="G85" s="3">
        <f>3.56*F85</f>
        <v>0</v>
      </c>
      <c r="H85" s="3">
        <f>0.0171*F85</f>
        <v>0</v>
      </c>
      <c r="I85" s="3"/>
      <c r="J85" s="3" t="s">
        <v>299</v>
      </c>
    </row>
    <row r="86" spans="1:10" ht="46.9" hidden="1" customHeight="1">
      <c r="A86" s="7" t="s">
        <v>300</v>
      </c>
      <c r="B86" s="4">
        <v>1101883</v>
      </c>
      <c r="C86" s="3"/>
      <c r="D86" s="9" t="s">
        <v>370</v>
      </c>
      <c r="E86" s="4">
        <v>4</v>
      </c>
      <c r="F86" s="10"/>
      <c r="G86" s="3">
        <f>1.64*F86</f>
        <v>0</v>
      </c>
      <c r="H86" s="3">
        <f>0.009251*F86</f>
        <v>0</v>
      </c>
      <c r="I86" s="3"/>
      <c r="J86" s="3" t="s">
        <v>299</v>
      </c>
    </row>
    <row r="87" spans="1:10" ht="46.9" hidden="1" customHeight="1">
      <c r="A87" s="7" t="s">
        <v>297</v>
      </c>
      <c r="B87" s="4">
        <v>1101884</v>
      </c>
      <c r="C87" s="3"/>
      <c r="D87" s="9" t="s">
        <v>371</v>
      </c>
      <c r="E87" s="4">
        <v>4</v>
      </c>
      <c r="F87" s="10"/>
      <c r="G87" s="3">
        <f>2.06*F87</f>
        <v>0</v>
      </c>
      <c r="H87" s="3">
        <f>0.01129175*F87</f>
        <v>0</v>
      </c>
      <c r="I87" s="3"/>
      <c r="J87" s="3" t="s">
        <v>299</v>
      </c>
    </row>
    <row r="88" spans="1:10" ht="46.9" hidden="1" customHeight="1">
      <c r="A88" s="7" t="s">
        <v>300</v>
      </c>
      <c r="B88" s="4">
        <v>1101885</v>
      </c>
      <c r="C88" s="3"/>
      <c r="D88" s="9" t="s">
        <v>372</v>
      </c>
      <c r="E88" s="4">
        <v>4</v>
      </c>
      <c r="F88" s="10"/>
      <c r="G88" s="3">
        <f>2.83*F88</f>
        <v>0</v>
      </c>
      <c r="H88" s="3">
        <f>0.01806875*F88</f>
        <v>0</v>
      </c>
      <c r="I88" s="3"/>
      <c r="J88" s="3" t="s">
        <v>299</v>
      </c>
    </row>
    <row r="89" spans="1:10" ht="46.9" hidden="1" customHeight="1">
      <c r="A89" s="7" t="s">
        <v>300</v>
      </c>
      <c r="B89" s="4">
        <v>1101888</v>
      </c>
      <c r="C89" s="3"/>
      <c r="D89" s="9" t="s">
        <v>373</v>
      </c>
      <c r="E89" s="4">
        <v>4</v>
      </c>
      <c r="F89" s="10"/>
      <c r="G89" s="3">
        <f>1.45*F89</f>
        <v>0</v>
      </c>
      <c r="H89" s="3">
        <f>0.0092*F89</f>
        <v>0</v>
      </c>
      <c r="I89" s="3"/>
      <c r="J89" s="3" t="s">
        <v>299</v>
      </c>
    </row>
    <row r="90" spans="1:10" ht="46.9" hidden="1" customHeight="1">
      <c r="A90" s="7" t="s">
        <v>300</v>
      </c>
      <c r="B90" s="4">
        <v>1101889</v>
      </c>
      <c r="C90" s="3"/>
      <c r="D90" s="9" t="s">
        <v>374</v>
      </c>
      <c r="E90" s="4">
        <v>4</v>
      </c>
      <c r="F90" s="10"/>
      <c r="G90" s="3">
        <f>3.22*F90</f>
        <v>0</v>
      </c>
      <c r="H90" s="3">
        <f>0.01825*F90</f>
        <v>0</v>
      </c>
      <c r="I90" s="3"/>
      <c r="J90" s="3" t="s">
        <v>299</v>
      </c>
    </row>
    <row r="91" spans="1:10" ht="46.9" hidden="1" customHeight="1">
      <c r="A91" s="7" t="s">
        <v>300</v>
      </c>
      <c r="B91" s="4">
        <v>1101890</v>
      </c>
      <c r="C91" s="3"/>
      <c r="D91" s="9" t="s">
        <v>375</v>
      </c>
      <c r="E91" s="4">
        <v>4</v>
      </c>
      <c r="F91" s="10"/>
      <c r="G91" s="3">
        <f>1.44*F91</f>
        <v>0</v>
      </c>
      <c r="H91" s="3">
        <f>0.00924*F91</f>
        <v>0</v>
      </c>
      <c r="I91" s="3"/>
      <c r="J91" s="3" t="s">
        <v>299</v>
      </c>
    </row>
    <row r="92" spans="1:10" ht="46.9" hidden="1" customHeight="1">
      <c r="A92" s="7" t="s">
        <v>300</v>
      </c>
      <c r="B92" s="4">
        <v>1101891</v>
      </c>
      <c r="C92" s="3"/>
      <c r="D92" s="9" t="s">
        <v>376</v>
      </c>
      <c r="E92" s="4">
        <v>4</v>
      </c>
      <c r="F92" s="10"/>
      <c r="G92" s="3">
        <f>2*F92</f>
        <v>0</v>
      </c>
      <c r="H92" s="3">
        <f>0.0126*F92</f>
        <v>0</v>
      </c>
      <c r="I92" s="3"/>
      <c r="J92" s="3" t="s">
        <v>299</v>
      </c>
    </row>
    <row r="93" spans="1:10" ht="46.9" hidden="1" customHeight="1">
      <c r="A93" s="7" t="s">
        <v>300</v>
      </c>
      <c r="B93" s="4">
        <v>1101892</v>
      </c>
      <c r="C93" s="3"/>
      <c r="D93" s="9" t="s">
        <v>377</v>
      </c>
      <c r="E93" s="4">
        <v>4</v>
      </c>
      <c r="F93" s="10"/>
      <c r="G93" s="3">
        <f>1.52*F93</f>
        <v>0</v>
      </c>
      <c r="H93" s="3">
        <f>0.015045*F93</f>
        <v>0</v>
      </c>
      <c r="I93" s="3"/>
      <c r="J93" s="3" t="s">
        <v>299</v>
      </c>
    </row>
    <row r="94" spans="1:10" ht="46.9" hidden="1" customHeight="1">
      <c r="A94" s="7" t="s">
        <v>300</v>
      </c>
      <c r="B94" s="4">
        <v>1101893</v>
      </c>
      <c r="C94" s="3"/>
      <c r="D94" s="9" t="s">
        <v>378</v>
      </c>
      <c r="E94" s="4">
        <v>4</v>
      </c>
      <c r="F94" s="10"/>
      <c r="G94" s="3">
        <f>1.55*F94</f>
        <v>0</v>
      </c>
      <c r="H94" s="3">
        <f>0.01575*F94</f>
        <v>0</v>
      </c>
      <c r="I94" s="3"/>
      <c r="J94" s="3" t="s">
        <v>299</v>
      </c>
    </row>
    <row r="95" spans="1:10" ht="46.9" hidden="1" customHeight="1">
      <c r="A95" s="7" t="s">
        <v>300</v>
      </c>
      <c r="B95" s="4">
        <v>1101902</v>
      </c>
      <c r="C95" s="3"/>
      <c r="D95" s="9" t="s">
        <v>379</v>
      </c>
      <c r="E95" s="4">
        <v>4</v>
      </c>
      <c r="F95" s="10"/>
      <c r="G95" s="3">
        <f>3.26*F95</f>
        <v>0</v>
      </c>
      <c r="H95" s="3">
        <f>0.0126*F95</f>
        <v>0</v>
      </c>
      <c r="I95" s="3"/>
      <c r="J95" s="3" t="s">
        <v>299</v>
      </c>
    </row>
    <row r="96" spans="1:10" ht="46.9" hidden="1" customHeight="1">
      <c r="A96" s="7" t="s">
        <v>355</v>
      </c>
      <c r="B96" s="4">
        <v>1101908</v>
      </c>
      <c r="C96" s="3"/>
      <c r="D96" s="9" t="s">
        <v>380</v>
      </c>
      <c r="E96" s="4">
        <v>6</v>
      </c>
      <c r="F96" s="10"/>
      <c r="G96" s="3">
        <f>1.9*F96</f>
        <v>0</v>
      </c>
      <c r="H96" s="3">
        <f>0.01071*F96</f>
        <v>0</v>
      </c>
      <c r="I96" s="3"/>
      <c r="J96" s="3" t="s">
        <v>299</v>
      </c>
    </row>
    <row r="97" spans="1:10" ht="46.9" hidden="1" customHeight="1">
      <c r="A97" s="7" t="s">
        <v>360</v>
      </c>
      <c r="B97" s="4">
        <v>1100112</v>
      </c>
      <c r="C97" s="3"/>
      <c r="D97" s="9" t="s">
        <v>381</v>
      </c>
      <c r="E97" s="4">
        <v>6</v>
      </c>
      <c r="F97" s="10"/>
      <c r="G97" s="3">
        <f>1.47*F97</f>
        <v>0</v>
      </c>
      <c r="H97" s="3">
        <f>0.00944125*F97</f>
        <v>0</v>
      </c>
      <c r="I97" s="3"/>
      <c r="J97" s="3" t="s">
        <v>299</v>
      </c>
    </row>
    <row r="98" spans="1:10" ht="46.9" hidden="1" customHeight="1">
      <c r="A98" s="7" t="s">
        <v>355</v>
      </c>
      <c r="B98" s="4">
        <v>1101909</v>
      </c>
      <c r="C98" s="3"/>
      <c r="D98" s="9" t="s">
        <v>382</v>
      </c>
      <c r="E98" s="4">
        <v>6</v>
      </c>
      <c r="F98" s="10"/>
      <c r="G98" s="3">
        <f>3.93*F98</f>
        <v>0</v>
      </c>
      <c r="H98" s="3">
        <f>0.008726667*F98</f>
        <v>0</v>
      </c>
      <c r="I98" s="3"/>
      <c r="J98" s="3" t="s">
        <v>299</v>
      </c>
    </row>
    <row r="99" spans="1:10" ht="46.9" hidden="1" customHeight="1">
      <c r="A99" s="7" t="s">
        <v>355</v>
      </c>
      <c r="B99" s="4">
        <v>1101910</v>
      </c>
      <c r="C99" s="3"/>
      <c r="D99" s="9" t="s">
        <v>383</v>
      </c>
      <c r="E99" s="4">
        <v>6</v>
      </c>
      <c r="F99" s="10"/>
      <c r="G99" s="3">
        <f>2.63*F99</f>
        <v>0</v>
      </c>
      <c r="H99" s="3">
        <f>0.0114345*F99</f>
        <v>0</v>
      </c>
      <c r="I99" s="3"/>
      <c r="J99" s="3" t="s">
        <v>299</v>
      </c>
    </row>
    <row r="100" spans="1:10" ht="46.9" hidden="1" customHeight="1">
      <c r="A100" s="7" t="s">
        <v>360</v>
      </c>
      <c r="B100" s="4">
        <v>1100117</v>
      </c>
      <c r="C100" s="3"/>
      <c r="D100" s="9" t="s">
        <v>384</v>
      </c>
      <c r="E100" s="4">
        <v>6</v>
      </c>
      <c r="F100" s="10"/>
      <c r="G100" s="3">
        <f>3.3*F100</f>
        <v>0</v>
      </c>
      <c r="H100" s="3">
        <f>0.01911*F100</f>
        <v>0</v>
      </c>
      <c r="I100" s="3"/>
      <c r="J100" s="3" t="s">
        <v>299</v>
      </c>
    </row>
    <row r="101" spans="1:10" ht="46.9" hidden="1" customHeight="1">
      <c r="A101" s="7" t="s">
        <v>355</v>
      </c>
      <c r="B101" s="4">
        <v>1100118</v>
      </c>
      <c r="C101" s="3"/>
      <c r="D101" s="9" t="s">
        <v>385</v>
      </c>
      <c r="E101" s="4">
        <v>6</v>
      </c>
      <c r="F101" s="10"/>
      <c r="G101" s="3">
        <f>1.01*F101</f>
        <v>0</v>
      </c>
      <c r="H101" s="3">
        <f>0.0076375*F101</f>
        <v>0</v>
      </c>
      <c r="I101" s="3"/>
      <c r="J101" s="3" t="s">
        <v>299</v>
      </c>
    </row>
    <row r="102" spans="1:10" ht="46.9" hidden="1" customHeight="1">
      <c r="A102" s="7" t="s">
        <v>360</v>
      </c>
      <c r="B102" s="4">
        <v>1100119</v>
      </c>
      <c r="C102" s="3"/>
      <c r="D102" s="9" t="s">
        <v>386</v>
      </c>
      <c r="E102" s="4">
        <v>6</v>
      </c>
      <c r="F102" s="10"/>
      <c r="G102" s="3">
        <f>1.31*F102</f>
        <v>0</v>
      </c>
      <c r="H102" s="3">
        <f>0.010935*F102</f>
        <v>0</v>
      </c>
      <c r="I102" s="3"/>
      <c r="J102" s="3" t="s">
        <v>299</v>
      </c>
    </row>
    <row r="103" spans="1:10" ht="46.9" hidden="1" customHeight="1">
      <c r="A103" s="7" t="s">
        <v>360</v>
      </c>
      <c r="B103" s="4">
        <v>1101101</v>
      </c>
      <c r="C103" s="3"/>
      <c r="D103" s="9" t="s">
        <v>387</v>
      </c>
      <c r="E103" s="4">
        <v>6</v>
      </c>
      <c r="F103" s="10"/>
      <c r="G103" s="3">
        <f>1.55*F103</f>
        <v>0</v>
      </c>
      <c r="H103" s="3">
        <f>0.00830375*F103</f>
        <v>0</v>
      </c>
      <c r="I103" s="3"/>
      <c r="J103" s="3" t="s">
        <v>299</v>
      </c>
    </row>
    <row r="104" spans="1:10" ht="46.9" hidden="1" customHeight="1">
      <c r="A104" s="7" t="s">
        <v>360</v>
      </c>
      <c r="B104" s="4">
        <v>1101118</v>
      </c>
      <c r="C104" s="3"/>
      <c r="D104" s="9" t="s">
        <v>388</v>
      </c>
      <c r="E104" s="4">
        <v>6</v>
      </c>
      <c r="F104" s="10"/>
      <c r="G104" s="3">
        <f>1.42*F104</f>
        <v>0</v>
      </c>
      <c r="H104" s="3">
        <f>0.005641875*F104</f>
        <v>0</v>
      </c>
      <c r="I104" s="3"/>
      <c r="J104" s="3" t="s">
        <v>299</v>
      </c>
    </row>
    <row r="105" spans="1:10" ht="46.9" hidden="1" customHeight="1">
      <c r="A105" s="7" t="s">
        <v>360</v>
      </c>
      <c r="B105" s="4">
        <v>1101125</v>
      </c>
      <c r="C105" s="3"/>
      <c r="D105" s="9" t="s">
        <v>389</v>
      </c>
      <c r="E105" s="4">
        <v>6</v>
      </c>
      <c r="F105" s="10"/>
      <c r="G105" s="3">
        <f>2.28*F105</f>
        <v>0</v>
      </c>
      <c r="H105" s="3">
        <f>0.010892292*F105</f>
        <v>0</v>
      </c>
      <c r="I105" s="3"/>
      <c r="J105" s="3" t="s">
        <v>299</v>
      </c>
    </row>
    <row r="106" spans="1:10" ht="46.9" hidden="1" customHeight="1">
      <c r="A106" s="7" t="s">
        <v>360</v>
      </c>
      <c r="B106" s="4">
        <v>1101132</v>
      </c>
      <c r="C106" s="3"/>
      <c r="D106" s="9" t="s">
        <v>390</v>
      </c>
      <c r="E106" s="4">
        <v>6</v>
      </c>
      <c r="F106" s="10"/>
      <c r="G106" s="3">
        <f>3.29*F106</f>
        <v>0</v>
      </c>
      <c r="H106" s="3">
        <f>0.015675*F106</f>
        <v>0</v>
      </c>
      <c r="I106" s="3"/>
      <c r="J106" s="3" t="s">
        <v>299</v>
      </c>
    </row>
    <row r="107" spans="1:10" ht="46.9" hidden="1" customHeight="1">
      <c r="A107" s="7" t="s">
        <v>355</v>
      </c>
      <c r="B107" s="4">
        <v>1102214</v>
      </c>
      <c r="C107" s="3"/>
      <c r="D107" s="9" t="s">
        <v>391</v>
      </c>
      <c r="E107" s="4">
        <v>6</v>
      </c>
      <c r="F107" s="10"/>
      <c r="G107" s="3">
        <f>2.87*F107</f>
        <v>0</v>
      </c>
      <c r="H107" s="3">
        <f>0.008719604*F107</f>
        <v>0</v>
      </c>
      <c r="I107" s="3"/>
      <c r="J107" s="3" t="s">
        <v>299</v>
      </c>
    </row>
    <row r="108" spans="1:10" ht="46.9" hidden="1" customHeight="1">
      <c r="A108" s="7" t="s">
        <v>360</v>
      </c>
      <c r="B108" s="4">
        <v>1102153</v>
      </c>
      <c r="C108" s="3"/>
      <c r="D108" s="9" t="s">
        <v>392</v>
      </c>
      <c r="E108" s="4">
        <v>6</v>
      </c>
      <c r="F108" s="10"/>
      <c r="G108" s="3">
        <f>2.16*F108</f>
        <v>0</v>
      </c>
      <c r="H108" s="3">
        <f>0.009086*F108</f>
        <v>0</v>
      </c>
      <c r="I108" s="3"/>
      <c r="J108" s="3" t="s">
        <v>299</v>
      </c>
    </row>
    <row r="109" spans="1:10" ht="46.9" hidden="1" customHeight="1">
      <c r="A109" s="7" t="s">
        <v>360</v>
      </c>
      <c r="B109" s="4">
        <v>1102139</v>
      </c>
      <c r="C109" s="3"/>
      <c r="D109" s="9" t="s">
        <v>393</v>
      </c>
      <c r="E109" s="4">
        <v>6</v>
      </c>
      <c r="F109" s="10"/>
      <c r="G109" s="3">
        <f>3.73*F109</f>
        <v>0</v>
      </c>
      <c r="H109" s="3">
        <f>0.017338944*F109</f>
        <v>0</v>
      </c>
      <c r="I109" s="3"/>
      <c r="J109" s="3" t="s">
        <v>299</v>
      </c>
    </row>
    <row r="110" spans="1:10" ht="46.9" hidden="1" customHeight="1">
      <c r="A110" s="7" t="s">
        <v>360</v>
      </c>
      <c r="B110" s="4">
        <v>1102184</v>
      </c>
      <c r="C110" s="3"/>
      <c r="D110" s="9" t="s">
        <v>394</v>
      </c>
      <c r="E110" s="4">
        <v>4</v>
      </c>
      <c r="F110" s="10"/>
      <c r="G110" s="3">
        <f>4.58*F110</f>
        <v>0</v>
      </c>
      <c r="H110" s="3">
        <f>0.023064*F110</f>
        <v>0</v>
      </c>
      <c r="I110" s="3"/>
      <c r="J110" s="3" t="s">
        <v>299</v>
      </c>
    </row>
    <row r="111" spans="1:10" ht="46.9" hidden="1" customHeight="1">
      <c r="A111" s="7" t="s">
        <v>360</v>
      </c>
      <c r="B111" s="4">
        <v>1102160</v>
      </c>
      <c r="C111" s="3"/>
      <c r="D111" s="9" t="s">
        <v>395</v>
      </c>
      <c r="E111" s="4">
        <v>6</v>
      </c>
      <c r="F111" s="10"/>
      <c r="G111" s="3">
        <f>3.65*F111</f>
        <v>0</v>
      </c>
      <c r="H111" s="3">
        <f>0.019008*F111</f>
        <v>0</v>
      </c>
      <c r="I111" s="3"/>
      <c r="J111" s="3" t="s">
        <v>299</v>
      </c>
    </row>
    <row r="112" spans="1:10" ht="46.9" hidden="1" customHeight="1">
      <c r="A112" s="7" t="s">
        <v>360</v>
      </c>
      <c r="B112" s="4">
        <v>1103297</v>
      </c>
      <c r="C112" s="3"/>
      <c r="D112" s="9" t="s">
        <v>396</v>
      </c>
      <c r="E112" s="4">
        <v>4</v>
      </c>
      <c r="F112" s="10"/>
      <c r="G112" s="3">
        <f>3.48*F112</f>
        <v>0</v>
      </c>
      <c r="H112" s="3">
        <f>0.018753*F112</f>
        <v>0</v>
      </c>
      <c r="I112" s="3"/>
      <c r="J112" s="3" t="s">
        <v>299</v>
      </c>
    </row>
    <row r="113" spans="1:10" ht="46.9" hidden="1" customHeight="1">
      <c r="A113" s="7" t="s">
        <v>360</v>
      </c>
      <c r="B113" s="4">
        <v>1102146</v>
      </c>
      <c r="C113" s="3"/>
      <c r="D113" s="9" t="s">
        <v>397</v>
      </c>
      <c r="E113" s="4">
        <v>6</v>
      </c>
      <c r="F113" s="10"/>
      <c r="G113" s="3">
        <f>3.53*F113</f>
        <v>0</v>
      </c>
      <c r="H113" s="3">
        <f>0.018126875*F113</f>
        <v>0</v>
      </c>
      <c r="I113" s="3"/>
      <c r="J113" s="3" t="s">
        <v>299</v>
      </c>
    </row>
    <row r="114" spans="1:10" ht="46.9" hidden="1" customHeight="1">
      <c r="A114" s="7" t="s">
        <v>360</v>
      </c>
      <c r="B114" s="4">
        <v>1102559</v>
      </c>
      <c r="C114" s="3"/>
      <c r="D114" s="9" t="s">
        <v>398</v>
      </c>
      <c r="E114" s="4">
        <v>8</v>
      </c>
      <c r="F114" s="10"/>
      <c r="G114" s="3">
        <f>1.63*F114</f>
        <v>0</v>
      </c>
      <c r="H114" s="3">
        <f>0.007612531*F114</f>
        <v>0</v>
      </c>
      <c r="I114" s="3"/>
      <c r="J114" s="3" t="s">
        <v>299</v>
      </c>
    </row>
    <row r="115" spans="1:10" ht="46.9" hidden="1" customHeight="1">
      <c r="A115" s="7" t="s">
        <v>360</v>
      </c>
      <c r="B115" s="4">
        <v>1102573</v>
      </c>
      <c r="C115" s="3"/>
      <c r="D115" s="9" t="s">
        <v>399</v>
      </c>
      <c r="E115" s="4">
        <v>8</v>
      </c>
      <c r="F115" s="10"/>
      <c r="G115" s="3">
        <f>1.43*F115</f>
        <v>0</v>
      </c>
      <c r="H115" s="3">
        <f>0.005702375*F115</f>
        <v>0</v>
      </c>
      <c r="I115" s="3"/>
      <c r="J115" s="3" t="s">
        <v>299</v>
      </c>
    </row>
    <row r="116" spans="1:10" ht="46.9" hidden="1" customHeight="1">
      <c r="A116" s="7" t="s">
        <v>360</v>
      </c>
      <c r="B116" s="4">
        <v>1102665</v>
      </c>
      <c r="C116" s="3"/>
      <c r="D116" s="9" t="s">
        <v>400</v>
      </c>
      <c r="E116" s="4">
        <v>8</v>
      </c>
      <c r="F116" s="10"/>
      <c r="G116" s="3">
        <f>2.99*F116</f>
        <v>0</v>
      </c>
      <c r="H116" s="3">
        <f>0.017728875*F116</f>
        <v>0</v>
      </c>
      <c r="I116" s="3"/>
      <c r="J116" s="3" t="s">
        <v>299</v>
      </c>
    </row>
    <row r="117" spans="1:10" ht="46.9" hidden="1" customHeight="1">
      <c r="A117" s="7" t="s">
        <v>360</v>
      </c>
      <c r="B117" s="4">
        <v>1102795</v>
      </c>
      <c r="C117" s="3"/>
      <c r="D117" s="9" t="s">
        <v>401</v>
      </c>
      <c r="E117" s="4">
        <v>4</v>
      </c>
      <c r="F117" s="10"/>
      <c r="G117" s="3">
        <f>3.97*F117</f>
        <v>0</v>
      </c>
      <c r="H117" s="3">
        <f>0.026111188*F117</f>
        <v>0</v>
      </c>
      <c r="I117" s="3"/>
      <c r="J117" s="3" t="s">
        <v>299</v>
      </c>
    </row>
    <row r="118" spans="1:10" ht="46.9" hidden="1" customHeight="1">
      <c r="A118" s="7" t="s">
        <v>355</v>
      </c>
      <c r="B118" s="4">
        <v>1103389</v>
      </c>
      <c r="C118" s="3"/>
      <c r="D118" s="9" t="s">
        <v>402</v>
      </c>
      <c r="E118" s="4">
        <v>6</v>
      </c>
      <c r="F118" s="10"/>
      <c r="G118" s="3">
        <f>1.68*F118</f>
        <v>0</v>
      </c>
      <c r="H118" s="3">
        <f>0.0088*F118</f>
        <v>0</v>
      </c>
      <c r="I118" s="3"/>
      <c r="J118" s="3" t="s">
        <v>299</v>
      </c>
    </row>
    <row r="119" spans="1:10" ht="46.9" hidden="1" customHeight="1">
      <c r="A119" s="7" t="s">
        <v>355</v>
      </c>
      <c r="B119" s="4">
        <v>1103396</v>
      </c>
      <c r="C119" s="3"/>
      <c r="D119" s="9" t="s">
        <v>403</v>
      </c>
      <c r="E119" s="4">
        <v>6</v>
      </c>
      <c r="F119" s="10"/>
      <c r="G119" s="3">
        <f>1.73*F119</f>
        <v>0</v>
      </c>
      <c r="H119" s="3">
        <f>0.00816*F119</f>
        <v>0</v>
      </c>
      <c r="I119" s="3"/>
      <c r="J119" s="3" t="s">
        <v>299</v>
      </c>
    </row>
    <row r="120" spans="1:10" ht="46.9" hidden="1" customHeight="1">
      <c r="A120" s="7" t="s">
        <v>355</v>
      </c>
      <c r="B120" s="4">
        <v>1103457</v>
      </c>
      <c r="C120" s="3"/>
      <c r="D120" s="9" t="s">
        <v>404</v>
      </c>
      <c r="E120" s="4">
        <v>6</v>
      </c>
      <c r="F120" s="10"/>
      <c r="G120" s="3">
        <f>3.45*F120</f>
        <v>0</v>
      </c>
      <c r="H120" s="3">
        <f>0.023226*F120</f>
        <v>0</v>
      </c>
      <c r="I120" s="3"/>
      <c r="J120" s="3" t="s">
        <v>299</v>
      </c>
    </row>
    <row r="121" spans="1:10" ht="46.9" hidden="1" customHeight="1">
      <c r="A121" s="7" t="s">
        <v>355</v>
      </c>
      <c r="B121" s="4">
        <v>2304211</v>
      </c>
      <c r="C121" s="3"/>
      <c r="D121" s="9" t="s">
        <v>405</v>
      </c>
      <c r="E121" s="4">
        <v>6</v>
      </c>
      <c r="F121" s="10"/>
      <c r="G121" s="3">
        <f>3.14*F121</f>
        <v>0</v>
      </c>
      <c r="H121" s="3">
        <f>0.020625*F121</f>
        <v>0</v>
      </c>
      <c r="I121" s="3"/>
      <c r="J121" s="3" t="s">
        <v>299</v>
      </c>
    </row>
    <row r="122" spans="1:10" ht="46.9" hidden="1" customHeight="1">
      <c r="A122" s="7" t="s">
        <v>355</v>
      </c>
      <c r="B122" s="4">
        <v>3500025</v>
      </c>
      <c r="C122" s="3"/>
      <c r="D122" s="9" t="s">
        <v>406</v>
      </c>
      <c r="E122" s="4">
        <v>4</v>
      </c>
      <c r="F122" s="10"/>
      <c r="G122" s="3">
        <f>3.65*F122</f>
        <v>0</v>
      </c>
      <c r="H122" s="3">
        <f>0.01876875*F122</f>
        <v>0</v>
      </c>
      <c r="I122" s="3"/>
      <c r="J122" s="3" t="s">
        <v>299</v>
      </c>
    </row>
    <row r="123" spans="1:10" ht="46.9" hidden="1" customHeight="1">
      <c r="A123" s="7" t="s">
        <v>355</v>
      </c>
      <c r="B123" s="4">
        <v>3501244</v>
      </c>
      <c r="C123" s="3"/>
      <c r="D123" s="9" t="s">
        <v>407</v>
      </c>
      <c r="E123" s="4">
        <v>6</v>
      </c>
      <c r="F123" s="10"/>
      <c r="G123" s="3">
        <f>2.17*F123</f>
        <v>0</v>
      </c>
      <c r="H123" s="3">
        <f>0.009164*F123</f>
        <v>0</v>
      </c>
      <c r="I123" s="3"/>
      <c r="J123" s="3" t="s">
        <v>299</v>
      </c>
    </row>
    <row r="124" spans="1:10" ht="46.9" hidden="1" customHeight="1">
      <c r="A124" s="7" t="s">
        <v>355</v>
      </c>
      <c r="B124" s="4">
        <v>3500049</v>
      </c>
      <c r="C124" s="3"/>
      <c r="D124" s="9" t="s">
        <v>408</v>
      </c>
      <c r="E124" s="4">
        <v>6</v>
      </c>
      <c r="F124" s="10"/>
      <c r="G124" s="3">
        <f>2.06*F124</f>
        <v>0</v>
      </c>
      <c r="H124" s="3">
        <f>0.0108315*F124</f>
        <v>0</v>
      </c>
      <c r="I124" s="3"/>
      <c r="J124" s="3" t="s">
        <v>299</v>
      </c>
    </row>
    <row r="125" spans="1:10" ht="46.9" hidden="1" customHeight="1">
      <c r="A125" s="7" t="s">
        <v>355</v>
      </c>
      <c r="B125" s="4">
        <v>3501046</v>
      </c>
      <c r="C125" s="3"/>
      <c r="D125" s="9" t="s">
        <v>409</v>
      </c>
      <c r="E125" s="4">
        <v>4</v>
      </c>
      <c r="F125" s="10"/>
      <c r="G125" s="3">
        <f>2.3*F125</f>
        <v>0</v>
      </c>
      <c r="H125" s="3">
        <f>0.014497313*F125</f>
        <v>0</v>
      </c>
      <c r="I125" s="3"/>
      <c r="J125" s="3" t="s">
        <v>299</v>
      </c>
    </row>
    <row r="126" spans="1:10" ht="46.9" hidden="1" customHeight="1">
      <c r="A126" s="7" t="s">
        <v>355</v>
      </c>
      <c r="B126" s="4">
        <v>3501350</v>
      </c>
      <c r="C126" s="3"/>
      <c r="D126" s="9" t="s">
        <v>410</v>
      </c>
      <c r="E126" s="4">
        <v>4</v>
      </c>
      <c r="F126" s="10"/>
      <c r="G126" s="3">
        <f>3.22*F126</f>
        <v>0</v>
      </c>
      <c r="H126" s="3">
        <f>0.0203*F126</f>
        <v>0</v>
      </c>
      <c r="I126" s="3"/>
      <c r="J126" s="3" t="s">
        <v>299</v>
      </c>
    </row>
    <row r="127" spans="1:10" ht="46.9" hidden="1" customHeight="1">
      <c r="A127" s="7" t="s">
        <v>355</v>
      </c>
      <c r="B127" s="4">
        <v>3501367</v>
      </c>
      <c r="C127" s="3"/>
      <c r="D127" s="9" t="s">
        <v>411</v>
      </c>
      <c r="E127" s="4">
        <v>4</v>
      </c>
      <c r="F127" s="10"/>
      <c r="G127" s="3">
        <f>1.75*F127</f>
        <v>0</v>
      </c>
      <c r="H127" s="3">
        <f>0.010086*F127</f>
        <v>0</v>
      </c>
      <c r="I127" s="3"/>
      <c r="J127" s="3" t="s">
        <v>299</v>
      </c>
    </row>
    <row r="128" spans="1:10" ht="46.9" hidden="1" customHeight="1">
      <c r="A128" s="7" t="s">
        <v>355</v>
      </c>
      <c r="B128" s="4">
        <v>3501381</v>
      </c>
      <c r="C128" s="3"/>
      <c r="D128" s="9" t="s">
        <v>412</v>
      </c>
      <c r="E128" s="4">
        <v>4</v>
      </c>
      <c r="F128" s="10"/>
      <c r="G128" s="3">
        <f>2.62*F128</f>
        <v>0</v>
      </c>
      <c r="H128" s="3">
        <f>0.011445125*F128</f>
        <v>0</v>
      </c>
      <c r="I128" s="3"/>
      <c r="J128" s="3" t="s">
        <v>299</v>
      </c>
    </row>
    <row r="129" spans="1:10" ht="46.9" hidden="1" customHeight="1">
      <c r="A129" s="7" t="s">
        <v>360</v>
      </c>
      <c r="B129" s="4">
        <v>3501398</v>
      </c>
      <c r="C129" s="3"/>
      <c r="D129" s="9" t="s">
        <v>413</v>
      </c>
      <c r="E129" s="4">
        <v>2</v>
      </c>
      <c r="F129" s="10"/>
      <c r="G129" s="3">
        <f>4.25*F129</f>
        <v>0</v>
      </c>
      <c r="H129" s="3">
        <f>0.032261625*F129</f>
        <v>0</v>
      </c>
      <c r="I129" s="3"/>
      <c r="J129" s="3" t="s">
        <v>299</v>
      </c>
    </row>
    <row r="130" spans="1:10" ht="46.9" hidden="1" customHeight="1">
      <c r="A130" s="7" t="s">
        <v>360</v>
      </c>
      <c r="B130" s="4">
        <v>3501480</v>
      </c>
      <c r="C130" s="3"/>
      <c r="D130" s="9" t="s">
        <v>414</v>
      </c>
      <c r="E130" s="4">
        <v>4</v>
      </c>
      <c r="F130" s="10"/>
      <c r="G130" s="3">
        <f>2.41*F130</f>
        <v>0</v>
      </c>
      <c r="H130" s="3">
        <f>0.011748*F130</f>
        <v>0</v>
      </c>
      <c r="I130" s="3"/>
      <c r="J130" s="3" t="s">
        <v>299</v>
      </c>
    </row>
    <row r="131" spans="1:10" ht="46.9" hidden="1" customHeight="1">
      <c r="A131" s="7" t="s">
        <v>355</v>
      </c>
      <c r="B131" s="4">
        <v>3501497</v>
      </c>
      <c r="C131" s="3"/>
      <c r="D131" s="9" t="s">
        <v>406</v>
      </c>
      <c r="E131" s="4">
        <v>4</v>
      </c>
      <c r="F131" s="10"/>
      <c r="G131" s="3">
        <f>3.35*F131</f>
        <v>0</v>
      </c>
      <c r="H131" s="3">
        <f>0.018759*F131</f>
        <v>0</v>
      </c>
      <c r="I131" s="3"/>
      <c r="J131" s="3" t="s">
        <v>299</v>
      </c>
    </row>
    <row r="132" spans="1:10" ht="46.9" hidden="1" customHeight="1">
      <c r="A132" s="7" t="s">
        <v>355</v>
      </c>
      <c r="B132" s="4">
        <v>3501985</v>
      </c>
      <c r="C132" s="3"/>
      <c r="D132" s="9" t="s">
        <v>415</v>
      </c>
      <c r="E132" s="4">
        <v>4</v>
      </c>
      <c r="F132" s="10"/>
      <c r="G132" s="3">
        <f>2.94*F132</f>
        <v>0</v>
      </c>
      <c r="H132" s="3">
        <f>0.01115775*F132</f>
        <v>0</v>
      </c>
      <c r="I132" s="3"/>
      <c r="J132" s="3" t="s">
        <v>299</v>
      </c>
    </row>
    <row r="133" spans="1:10" ht="46.9" hidden="1" customHeight="1">
      <c r="A133" s="7" t="s">
        <v>360</v>
      </c>
      <c r="B133" s="4">
        <v>3502364</v>
      </c>
      <c r="C133" s="3"/>
      <c r="D133" s="9" t="s">
        <v>416</v>
      </c>
      <c r="E133" s="4">
        <v>6</v>
      </c>
      <c r="F133" s="10"/>
      <c r="G133" s="3">
        <f>1.71*F133</f>
        <v>0</v>
      </c>
      <c r="H133" s="3">
        <f>0.01081125*F133</f>
        <v>0</v>
      </c>
      <c r="I133" s="3"/>
      <c r="J133" s="3" t="s">
        <v>299</v>
      </c>
    </row>
    <row r="134" spans="1:10" ht="46.9" hidden="1" customHeight="1">
      <c r="A134" s="7" t="s">
        <v>355</v>
      </c>
      <c r="B134" s="4">
        <v>3900022</v>
      </c>
      <c r="C134" s="3"/>
      <c r="D134" s="9" t="s">
        <v>417</v>
      </c>
      <c r="E134" s="4">
        <v>6</v>
      </c>
      <c r="F134" s="10"/>
      <c r="G134" s="3">
        <f>1.83*F134</f>
        <v>0</v>
      </c>
      <c r="H134" s="3">
        <f>0.0129675*F134</f>
        <v>0</v>
      </c>
      <c r="I134" s="3"/>
      <c r="J134" s="3" t="s">
        <v>299</v>
      </c>
    </row>
    <row r="135" spans="1:10" ht="46.9" hidden="1" customHeight="1">
      <c r="A135" s="7" t="s">
        <v>355</v>
      </c>
      <c r="B135" s="4">
        <v>3900023</v>
      </c>
      <c r="C135" s="3"/>
      <c r="D135" s="9" t="s">
        <v>418</v>
      </c>
      <c r="E135" s="4">
        <v>6</v>
      </c>
      <c r="F135" s="10"/>
      <c r="G135" s="3">
        <f>2.66*F135</f>
        <v>0</v>
      </c>
      <c r="H135" s="3">
        <f>0.018162375*F135</f>
        <v>0</v>
      </c>
      <c r="I135" s="3"/>
      <c r="J135" s="3" t="s">
        <v>299</v>
      </c>
    </row>
    <row r="136" spans="1:10" ht="46.9" hidden="1" customHeight="1">
      <c r="A136" s="7" t="s">
        <v>355</v>
      </c>
      <c r="B136" s="4">
        <v>3900024</v>
      </c>
      <c r="C136" s="3"/>
      <c r="D136" s="9" t="s">
        <v>419</v>
      </c>
      <c r="E136" s="4">
        <v>6</v>
      </c>
      <c r="F136" s="10"/>
      <c r="G136" s="3">
        <f>3.53*F136</f>
        <v>0</v>
      </c>
      <c r="H136" s="3">
        <f>0.025474083*F136</f>
        <v>0</v>
      </c>
      <c r="I136" s="3"/>
      <c r="J136" s="3" t="s">
        <v>299</v>
      </c>
    </row>
    <row r="137" spans="1:10" ht="46.9" hidden="1" customHeight="1">
      <c r="A137" s="7" t="s">
        <v>355</v>
      </c>
      <c r="B137" s="4">
        <v>3900025</v>
      </c>
      <c r="C137" s="3"/>
      <c r="D137" s="9" t="s">
        <v>420</v>
      </c>
      <c r="E137" s="4">
        <v>6</v>
      </c>
      <c r="F137" s="10"/>
      <c r="G137" s="3">
        <f>2.96*F137</f>
        <v>0</v>
      </c>
      <c r="H137" s="3">
        <f>0.015152688*F137</f>
        <v>0</v>
      </c>
      <c r="I137" s="3"/>
      <c r="J137" s="3" t="s">
        <v>299</v>
      </c>
    </row>
    <row r="138" spans="1:10" ht="46.9" hidden="1" customHeight="1">
      <c r="A138" s="7" t="s">
        <v>360</v>
      </c>
      <c r="B138" s="4">
        <v>3900026</v>
      </c>
      <c r="C138" s="3"/>
      <c r="D138" s="9" t="s">
        <v>421</v>
      </c>
      <c r="E138" s="4">
        <v>4</v>
      </c>
      <c r="F138" s="10"/>
      <c r="G138" s="3">
        <f>1.86*F138</f>
        <v>0</v>
      </c>
      <c r="H138" s="3">
        <f>0.016822813*F138</f>
        <v>0</v>
      </c>
      <c r="I138" s="3"/>
      <c r="J138" s="3" t="s">
        <v>299</v>
      </c>
    </row>
    <row r="139" spans="1:10" ht="46.9" hidden="1" customHeight="1">
      <c r="A139" s="7" t="s">
        <v>360</v>
      </c>
      <c r="B139" s="4">
        <v>3900027</v>
      </c>
      <c r="C139" s="3"/>
      <c r="D139" s="9" t="s">
        <v>422</v>
      </c>
      <c r="E139" s="4">
        <v>4</v>
      </c>
      <c r="F139" s="10"/>
      <c r="G139" s="3">
        <f>2.34*F139</f>
        <v>0</v>
      </c>
      <c r="H139" s="3">
        <f>0.021968438*F139</f>
        <v>0</v>
      </c>
      <c r="I139" s="3"/>
      <c r="J139" s="3" t="s">
        <v>299</v>
      </c>
    </row>
    <row r="140" spans="1:10" ht="46.9" hidden="1" customHeight="1">
      <c r="A140" s="7" t="s">
        <v>355</v>
      </c>
      <c r="B140" s="4">
        <v>3900029</v>
      </c>
      <c r="C140" s="3"/>
      <c r="D140" s="9" t="s">
        <v>423</v>
      </c>
      <c r="E140" s="4">
        <v>4</v>
      </c>
      <c r="F140" s="10"/>
      <c r="G140" s="3">
        <f>1.31*F140</f>
        <v>0</v>
      </c>
      <c r="H140" s="3">
        <f>0.0080625*F140</f>
        <v>0</v>
      </c>
      <c r="I140" s="3"/>
      <c r="J140" s="3" t="s">
        <v>299</v>
      </c>
    </row>
    <row r="141" spans="1:10" ht="46.9" hidden="1" customHeight="1">
      <c r="A141" s="7" t="s">
        <v>355</v>
      </c>
      <c r="B141" s="4">
        <v>3900030</v>
      </c>
      <c r="C141" s="3"/>
      <c r="D141" s="9" t="s">
        <v>424</v>
      </c>
      <c r="E141" s="4">
        <v>4</v>
      </c>
      <c r="F141" s="10"/>
      <c r="G141" s="3">
        <f>1.95*F141</f>
        <v>0</v>
      </c>
      <c r="H141" s="3">
        <f>0.009271875*F141</f>
        <v>0</v>
      </c>
      <c r="I141" s="3"/>
      <c r="J141" s="3" t="s">
        <v>299</v>
      </c>
    </row>
    <row r="142" spans="1:10" ht="46.9" hidden="1" customHeight="1">
      <c r="A142" s="7" t="s">
        <v>355</v>
      </c>
      <c r="B142" s="4">
        <v>3900031</v>
      </c>
      <c r="C142" s="3"/>
      <c r="D142" s="9" t="s">
        <v>425</v>
      </c>
      <c r="E142" s="4">
        <v>4</v>
      </c>
      <c r="F142" s="10"/>
      <c r="G142" s="3">
        <f>2.28*F142</f>
        <v>0</v>
      </c>
      <c r="H142" s="3">
        <f>0.00951375*F142</f>
        <v>0</v>
      </c>
      <c r="I142" s="3"/>
      <c r="J142" s="3" t="s">
        <v>299</v>
      </c>
    </row>
    <row r="143" spans="1:10" ht="46.9" hidden="1" customHeight="1">
      <c r="A143" s="7" t="s">
        <v>355</v>
      </c>
      <c r="B143" s="4">
        <v>3900032</v>
      </c>
      <c r="C143" s="3"/>
      <c r="D143" s="9" t="s">
        <v>426</v>
      </c>
      <c r="E143" s="4">
        <v>4</v>
      </c>
      <c r="F143" s="10"/>
      <c r="G143" s="3">
        <f>2.83*F143</f>
        <v>0</v>
      </c>
      <c r="H143" s="3">
        <f>0.01216875*F143</f>
        <v>0</v>
      </c>
      <c r="I143" s="3"/>
      <c r="J143" s="3" t="s">
        <v>299</v>
      </c>
    </row>
    <row r="144" spans="1:10" ht="46.9" hidden="1" customHeight="1">
      <c r="A144" s="7" t="s">
        <v>355</v>
      </c>
      <c r="B144" s="4">
        <v>3900033</v>
      </c>
      <c r="C144" s="3"/>
      <c r="D144" s="9" t="s">
        <v>427</v>
      </c>
      <c r="E144" s="4">
        <v>4</v>
      </c>
      <c r="F144" s="10"/>
      <c r="G144" s="3">
        <f>2.54*F144</f>
        <v>0</v>
      </c>
      <c r="H144" s="3">
        <f>0.00911625*F144</f>
        <v>0</v>
      </c>
      <c r="I144" s="3"/>
      <c r="J144" s="3" t="s">
        <v>299</v>
      </c>
    </row>
    <row r="145" spans="1:10" ht="46.9" hidden="1" customHeight="1">
      <c r="A145" s="7" t="s">
        <v>355</v>
      </c>
      <c r="B145" s="4">
        <v>3900034</v>
      </c>
      <c r="C145" s="3"/>
      <c r="D145" s="9" t="s">
        <v>428</v>
      </c>
      <c r="E145" s="4">
        <v>4</v>
      </c>
      <c r="F145" s="10"/>
      <c r="G145" s="3">
        <f>3.26*F145</f>
        <v>0</v>
      </c>
      <c r="H145" s="3">
        <f>0.01566125*F145</f>
        <v>0</v>
      </c>
      <c r="I145" s="3"/>
      <c r="J145" s="3" t="s">
        <v>299</v>
      </c>
    </row>
    <row r="146" spans="1:10" ht="46.9" hidden="1" customHeight="1">
      <c r="A146" s="7" t="s">
        <v>360</v>
      </c>
      <c r="B146" s="4">
        <v>3900035</v>
      </c>
      <c r="C146" s="3"/>
      <c r="D146" s="9" t="s">
        <v>429</v>
      </c>
      <c r="E146" s="4">
        <v>4</v>
      </c>
      <c r="F146" s="10"/>
      <c r="G146" s="3">
        <f>1.89*F146</f>
        <v>0</v>
      </c>
      <c r="H146" s="3">
        <f>0.012258563*F146</f>
        <v>0</v>
      </c>
      <c r="I146" s="3"/>
      <c r="J146" s="3" t="s">
        <v>299</v>
      </c>
    </row>
    <row r="147" spans="1:10" ht="46.9" hidden="1" customHeight="1">
      <c r="A147" s="7" t="s">
        <v>355</v>
      </c>
      <c r="B147" s="4">
        <v>3900036</v>
      </c>
      <c r="C147" s="3"/>
      <c r="D147" s="9" t="s">
        <v>430</v>
      </c>
      <c r="E147" s="4">
        <v>4</v>
      </c>
      <c r="F147" s="10"/>
      <c r="G147" s="3">
        <f>2.13*F147</f>
        <v>0</v>
      </c>
      <c r="H147" s="3">
        <f>0.008599875*F147</f>
        <v>0</v>
      </c>
      <c r="I147" s="3"/>
      <c r="J147" s="3" t="s">
        <v>299</v>
      </c>
    </row>
    <row r="148" spans="1:10" ht="46.9" hidden="1" customHeight="1">
      <c r="A148" s="7" t="s">
        <v>355</v>
      </c>
      <c r="B148" s="4">
        <v>3900037</v>
      </c>
      <c r="C148" s="3"/>
      <c r="D148" s="9" t="s">
        <v>431</v>
      </c>
      <c r="E148" s="4">
        <v>4</v>
      </c>
      <c r="F148" s="10"/>
      <c r="G148" s="3">
        <f>2.5*F148</f>
        <v>0</v>
      </c>
      <c r="H148" s="3">
        <f>0.013489*F148</f>
        <v>0</v>
      </c>
      <c r="I148" s="3"/>
      <c r="J148" s="3" t="s">
        <v>299</v>
      </c>
    </row>
    <row r="149" spans="1:10" ht="46.9" hidden="1" customHeight="1">
      <c r="A149" s="7" t="s">
        <v>355</v>
      </c>
      <c r="B149" s="4">
        <v>3900038</v>
      </c>
      <c r="C149" s="3"/>
      <c r="D149" s="9" t="s">
        <v>432</v>
      </c>
      <c r="E149" s="4">
        <v>2</v>
      </c>
      <c r="F149" s="10"/>
      <c r="G149" s="3">
        <f>6.6*F149</f>
        <v>0</v>
      </c>
      <c r="H149" s="3">
        <f>0.01825*F149</f>
        <v>0</v>
      </c>
      <c r="I149" s="3"/>
      <c r="J149" s="3" t="s">
        <v>299</v>
      </c>
    </row>
    <row r="150" spans="1:10" ht="46.9" hidden="1" customHeight="1">
      <c r="A150" s="7" t="s">
        <v>360</v>
      </c>
      <c r="B150" s="4">
        <v>3900039</v>
      </c>
      <c r="C150" s="3"/>
      <c r="D150" s="9" t="s">
        <v>433</v>
      </c>
      <c r="E150" s="4">
        <v>2</v>
      </c>
      <c r="F150" s="10"/>
      <c r="G150" s="3">
        <f>8.2*F150</f>
        <v>0</v>
      </c>
      <c r="H150" s="3">
        <f>0.0233625*F150</f>
        <v>0</v>
      </c>
      <c r="I150" s="3"/>
      <c r="J150" s="3" t="s">
        <v>299</v>
      </c>
    </row>
    <row r="151" spans="1:10" ht="46.9" hidden="1" customHeight="1">
      <c r="A151" s="7" t="s">
        <v>360</v>
      </c>
      <c r="B151" s="4">
        <v>3900040</v>
      </c>
      <c r="C151" s="3"/>
      <c r="D151" s="9" t="s">
        <v>434</v>
      </c>
      <c r="E151" s="4">
        <v>2</v>
      </c>
      <c r="F151" s="10"/>
      <c r="G151" s="3">
        <f>6.5*F151</f>
        <v>0</v>
      </c>
      <c r="H151" s="3">
        <f>0.020064*F151</f>
        <v>0</v>
      </c>
      <c r="I151" s="3"/>
      <c r="J151" s="3" t="s">
        <v>299</v>
      </c>
    </row>
    <row r="152" spans="1:10" ht="46.9" hidden="1" customHeight="1">
      <c r="A152" s="7" t="s">
        <v>360</v>
      </c>
      <c r="B152" s="4">
        <v>3900041</v>
      </c>
      <c r="C152" s="3"/>
      <c r="D152" s="9" t="s">
        <v>435</v>
      </c>
      <c r="E152" s="4">
        <v>4</v>
      </c>
      <c r="F152" s="10"/>
      <c r="G152" s="3">
        <f>3.75*F152</f>
        <v>0</v>
      </c>
      <c r="H152" s="3">
        <f>0.017888*F152</f>
        <v>0</v>
      </c>
      <c r="I152" s="3"/>
      <c r="J152" s="3" t="s">
        <v>299</v>
      </c>
    </row>
    <row r="153" spans="1:10" ht="46.9" hidden="1" customHeight="1">
      <c r="A153" s="7" t="s">
        <v>355</v>
      </c>
      <c r="B153" s="4">
        <v>3900042</v>
      </c>
      <c r="C153" s="3"/>
      <c r="D153" s="9" t="s">
        <v>436</v>
      </c>
      <c r="E153" s="4">
        <v>4</v>
      </c>
      <c r="F153" s="10"/>
      <c r="G153" s="3">
        <f>2.5*F153</f>
        <v>0</v>
      </c>
      <c r="H153" s="3">
        <f>0.013489*F153</f>
        <v>0</v>
      </c>
      <c r="I153" s="3"/>
      <c r="J153" s="3" t="s">
        <v>299</v>
      </c>
    </row>
    <row r="154" spans="1:10" ht="46.9" hidden="1" customHeight="1">
      <c r="A154" s="7" t="s">
        <v>360</v>
      </c>
      <c r="B154" s="4">
        <v>3900043</v>
      </c>
      <c r="C154" s="3"/>
      <c r="D154" s="9" t="s">
        <v>437</v>
      </c>
      <c r="E154" s="4">
        <v>2</v>
      </c>
      <c r="F154" s="10"/>
      <c r="G154" s="3">
        <f>6.6*F154</f>
        <v>0</v>
      </c>
      <c r="H154" s="3">
        <f>0.01825*F154</f>
        <v>0</v>
      </c>
      <c r="I154" s="3"/>
      <c r="J154" s="3" t="s">
        <v>299</v>
      </c>
    </row>
    <row r="155" spans="1:10" ht="46.9" hidden="1" customHeight="1">
      <c r="A155" s="7" t="s">
        <v>360</v>
      </c>
      <c r="B155" s="4">
        <v>3900044</v>
      </c>
      <c r="C155" s="3"/>
      <c r="D155" s="9" t="s">
        <v>438</v>
      </c>
      <c r="E155" s="4">
        <v>2</v>
      </c>
      <c r="F155" s="10"/>
      <c r="G155" s="3">
        <f>8.2*F155</f>
        <v>0</v>
      </c>
      <c r="H155" s="3">
        <f>0.0233625*F155</f>
        <v>0</v>
      </c>
      <c r="I155" s="3"/>
      <c r="J155" s="3" t="s">
        <v>299</v>
      </c>
    </row>
    <row r="156" spans="1:10" ht="46.9" hidden="1" customHeight="1">
      <c r="A156" s="7" t="s">
        <v>360</v>
      </c>
      <c r="B156" s="4">
        <v>3900045</v>
      </c>
      <c r="C156" s="3"/>
      <c r="D156" s="9" t="s">
        <v>439</v>
      </c>
      <c r="E156" s="4">
        <v>2</v>
      </c>
      <c r="F156" s="10"/>
      <c r="G156" s="3">
        <f>6.5*F156</f>
        <v>0</v>
      </c>
      <c r="H156" s="3">
        <f>0.020064*F156</f>
        <v>0</v>
      </c>
      <c r="I156" s="3"/>
      <c r="J156" s="3" t="s">
        <v>299</v>
      </c>
    </row>
    <row r="157" spans="1:10" ht="46.9" hidden="1" customHeight="1">
      <c r="A157" s="7" t="s">
        <v>360</v>
      </c>
      <c r="B157" s="4">
        <v>3900046</v>
      </c>
      <c r="C157" s="3"/>
      <c r="D157" s="9" t="s">
        <v>440</v>
      </c>
      <c r="E157" s="4">
        <v>4</v>
      </c>
      <c r="F157" s="10"/>
      <c r="G157" s="3">
        <f>3.75*F157</f>
        <v>0</v>
      </c>
      <c r="H157" s="3">
        <f>0.017888*F157</f>
        <v>0</v>
      </c>
      <c r="I157" s="3"/>
      <c r="J157" s="3" t="s">
        <v>299</v>
      </c>
    </row>
    <row r="158" spans="1:10" ht="46.9" hidden="1" customHeight="1">
      <c r="A158" s="7" t="s">
        <v>355</v>
      </c>
      <c r="B158" s="4">
        <v>1100090</v>
      </c>
      <c r="C158" s="3"/>
      <c r="D158" s="9" t="s">
        <v>441</v>
      </c>
      <c r="E158" s="4">
        <v>8</v>
      </c>
      <c r="F158" s="10"/>
      <c r="G158" s="3">
        <f>0.89*F158</f>
        <v>0</v>
      </c>
      <c r="H158" s="3">
        <f>0.00489325*F158</f>
        <v>0</v>
      </c>
      <c r="I158" s="3"/>
      <c r="J158" s="3" t="s">
        <v>299</v>
      </c>
    </row>
    <row r="159" spans="1:10" ht="46.9" hidden="1" customHeight="1">
      <c r="A159" s="7" t="s">
        <v>360</v>
      </c>
      <c r="B159" s="4">
        <v>1101903</v>
      </c>
      <c r="C159" s="3"/>
      <c r="D159" s="9" t="s">
        <v>442</v>
      </c>
      <c r="E159" s="4">
        <v>8</v>
      </c>
      <c r="F159" s="10"/>
      <c r="G159" s="3">
        <f>1.29*F159</f>
        <v>0</v>
      </c>
      <c r="H159" s="3">
        <f>0.006048*F159</f>
        <v>0</v>
      </c>
      <c r="I159" s="3"/>
      <c r="J159" s="3" t="s">
        <v>299</v>
      </c>
    </row>
    <row r="160" spans="1:10" ht="46.9" hidden="1" customHeight="1">
      <c r="A160" s="7" t="s">
        <v>360</v>
      </c>
      <c r="B160" s="4">
        <v>1101904</v>
      </c>
      <c r="C160" s="3"/>
      <c r="D160" s="9" t="s">
        <v>443</v>
      </c>
      <c r="E160" s="4">
        <v>8</v>
      </c>
      <c r="F160" s="10"/>
      <c r="G160" s="3">
        <f>1.58*F160</f>
        <v>0</v>
      </c>
      <c r="H160" s="3">
        <f>0.00745875*F160</f>
        <v>0</v>
      </c>
      <c r="I160" s="3"/>
      <c r="J160" s="3" t="s">
        <v>299</v>
      </c>
    </row>
    <row r="161" spans="1:10" ht="46.9" hidden="1" customHeight="1">
      <c r="A161" s="7" t="s">
        <v>360</v>
      </c>
      <c r="B161" s="4">
        <v>4410024</v>
      </c>
      <c r="C161" s="3"/>
      <c r="D161" s="9" t="s">
        <v>444</v>
      </c>
      <c r="E161" s="4">
        <v>6</v>
      </c>
      <c r="F161" s="10"/>
      <c r="G161" s="3">
        <f>2.13*F161</f>
        <v>0</v>
      </c>
      <c r="H161" s="3">
        <f>0.010809792*F161</f>
        <v>0</v>
      </c>
      <c r="I161" s="3"/>
      <c r="J161" s="3" t="s">
        <v>299</v>
      </c>
    </row>
    <row r="162" spans="1:10" ht="46.9" customHeight="1">
      <c r="A162" s="7" t="s">
        <v>355</v>
      </c>
      <c r="B162" s="4">
        <v>1100091</v>
      </c>
      <c r="C162" s="3"/>
      <c r="D162" s="9" t="s">
        <v>445</v>
      </c>
      <c r="E162" s="4">
        <v>6</v>
      </c>
      <c r="F162" s="10">
        <v>1</v>
      </c>
      <c r="G162" s="3">
        <f>2.1*F162</f>
        <v>2.1</v>
      </c>
      <c r="H162" s="3">
        <f>0.0107325*F162</f>
        <v>1.0732500000000001E-2</v>
      </c>
      <c r="I162" s="3"/>
      <c r="J162" s="3" t="s">
        <v>299</v>
      </c>
    </row>
    <row r="163" spans="1:10" ht="46.9" hidden="1" customHeight="1">
      <c r="A163" s="7" t="s">
        <v>360</v>
      </c>
      <c r="B163" s="4">
        <v>4410030</v>
      </c>
      <c r="C163" s="3"/>
      <c r="D163" s="9" t="s">
        <v>446</v>
      </c>
      <c r="E163" s="4">
        <v>6</v>
      </c>
      <c r="F163" s="10"/>
      <c r="G163" s="3">
        <f>2.25*F163</f>
        <v>0</v>
      </c>
      <c r="H163" s="3">
        <f>0.0135945*F163</f>
        <v>0</v>
      </c>
      <c r="I163" s="3"/>
      <c r="J163" s="3" t="s">
        <v>299</v>
      </c>
    </row>
    <row r="164" spans="1:10" ht="46.9" hidden="1" customHeight="1">
      <c r="A164" s="7" t="s">
        <v>360</v>
      </c>
      <c r="B164" s="4">
        <v>4410026</v>
      </c>
      <c r="C164" s="3"/>
      <c r="D164" s="9" t="s">
        <v>447</v>
      </c>
      <c r="E164" s="4">
        <v>6</v>
      </c>
      <c r="F164" s="10"/>
      <c r="G164" s="3">
        <f>1.95*F164</f>
        <v>0</v>
      </c>
      <c r="H164" s="3">
        <f>0.007595*F164</f>
        <v>0</v>
      </c>
      <c r="I164" s="3"/>
      <c r="J164" s="3" t="s">
        <v>299</v>
      </c>
    </row>
    <row r="165" spans="1:10" ht="46.9" hidden="1" customHeight="1">
      <c r="A165" s="7" t="s">
        <v>355</v>
      </c>
      <c r="B165" s="4">
        <v>4410027</v>
      </c>
      <c r="C165" s="3"/>
      <c r="D165" s="9" t="s">
        <v>448</v>
      </c>
      <c r="E165" s="4">
        <v>6</v>
      </c>
      <c r="F165" s="10"/>
      <c r="G165" s="3">
        <f>1.97*F165</f>
        <v>0</v>
      </c>
      <c r="H165" s="3">
        <f>0.0075335*F165</f>
        <v>0</v>
      </c>
      <c r="I165" s="3"/>
      <c r="J165" s="3" t="s">
        <v>299</v>
      </c>
    </row>
    <row r="166" spans="1:10" ht="46.9" hidden="1" customHeight="1">
      <c r="A166" s="7" t="s">
        <v>355</v>
      </c>
      <c r="B166" s="4">
        <v>4410028</v>
      </c>
      <c r="C166" s="3"/>
      <c r="D166" s="9" t="s">
        <v>449</v>
      </c>
      <c r="E166" s="4">
        <v>6</v>
      </c>
      <c r="F166" s="10"/>
      <c r="G166" s="3">
        <f>0.99*F166</f>
        <v>0</v>
      </c>
      <c r="H166" s="3">
        <f>0.006907667*F166</f>
        <v>0</v>
      </c>
      <c r="I166" s="3"/>
      <c r="J166" s="3" t="s">
        <v>299</v>
      </c>
    </row>
    <row r="167" spans="1:10" ht="46.9" hidden="1" customHeight="1">
      <c r="A167" s="7" t="s">
        <v>360</v>
      </c>
      <c r="B167" s="4">
        <v>4410029</v>
      </c>
      <c r="C167" s="3"/>
      <c r="D167" s="9" t="s">
        <v>450</v>
      </c>
      <c r="E167" s="4">
        <v>8</v>
      </c>
      <c r="F167" s="10"/>
      <c r="G167" s="3">
        <f>1.06*F167</f>
        <v>0</v>
      </c>
      <c r="H167" s="3">
        <f>0.00512325*F167</f>
        <v>0</v>
      </c>
      <c r="I167" s="3"/>
      <c r="J167" s="3" t="s">
        <v>299</v>
      </c>
    </row>
    <row r="168" spans="1:10" ht="46.9" hidden="1" customHeight="1">
      <c r="A168" s="7" t="s">
        <v>355</v>
      </c>
      <c r="B168" s="4">
        <v>1100096</v>
      </c>
      <c r="C168" s="3"/>
      <c r="D168" s="9" t="s">
        <v>451</v>
      </c>
      <c r="E168" s="4">
        <v>8</v>
      </c>
      <c r="F168" s="10"/>
      <c r="G168" s="3">
        <f>1.1*F168</f>
        <v>0</v>
      </c>
      <c r="H168" s="3">
        <f>0.005175*F168</f>
        <v>0</v>
      </c>
      <c r="I168" s="3"/>
      <c r="J168" s="3" t="s">
        <v>299</v>
      </c>
    </row>
    <row r="169" spans="1:10" ht="46.9" hidden="1" customHeight="1">
      <c r="A169" s="7" t="s">
        <v>355</v>
      </c>
      <c r="B169" s="4">
        <v>2801536</v>
      </c>
      <c r="C169" s="3"/>
      <c r="D169" s="9" t="s">
        <v>452</v>
      </c>
      <c r="E169" s="4">
        <v>4</v>
      </c>
      <c r="F169" s="10"/>
      <c r="G169" s="3">
        <f>2.82*F169</f>
        <v>0</v>
      </c>
      <c r="H169" s="3">
        <f>0.018915*F169</f>
        <v>0</v>
      </c>
      <c r="I169" s="3"/>
      <c r="J169" s="3" t="s">
        <v>299</v>
      </c>
    </row>
    <row r="170" spans="1:10" ht="46.9" hidden="1" customHeight="1">
      <c r="A170" s="7" t="s">
        <v>360</v>
      </c>
      <c r="B170" s="4">
        <v>1101870</v>
      </c>
      <c r="C170" s="3"/>
      <c r="D170" s="9" t="s">
        <v>453</v>
      </c>
      <c r="E170" s="4">
        <v>2</v>
      </c>
      <c r="F170" s="10"/>
      <c r="G170" s="3">
        <f>3.95*F170</f>
        <v>0</v>
      </c>
      <c r="H170" s="3">
        <f>0.02907*F170</f>
        <v>0</v>
      </c>
      <c r="I170" s="3"/>
      <c r="J170" s="3" t="s">
        <v>299</v>
      </c>
    </row>
    <row r="171" spans="1:10" ht="46.9" hidden="1" customHeight="1">
      <c r="A171" s="7" t="s">
        <v>360</v>
      </c>
      <c r="B171" s="4">
        <v>1101871</v>
      </c>
      <c r="C171" s="3"/>
      <c r="D171" s="9" t="s">
        <v>454</v>
      </c>
      <c r="E171" s="4">
        <v>2</v>
      </c>
      <c r="F171" s="10"/>
      <c r="G171" s="3">
        <f>4.37*F171</f>
        <v>0</v>
      </c>
      <c r="H171" s="3">
        <f>0.03332*F171</f>
        <v>0</v>
      </c>
      <c r="I171" s="3"/>
      <c r="J171" s="3" t="s">
        <v>299</v>
      </c>
    </row>
    <row r="172" spans="1:10" ht="46.9" hidden="1" customHeight="1">
      <c r="A172" s="7" t="s">
        <v>360</v>
      </c>
      <c r="B172" s="4">
        <v>1101872</v>
      </c>
      <c r="C172" s="3"/>
      <c r="D172" s="9" t="s">
        <v>455</v>
      </c>
      <c r="E172" s="4">
        <v>2</v>
      </c>
      <c r="F172" s="10"/>
      <c r="G172" s="3">
        <f>6.75*F172</f>
        <v>0</v>
      </c>
      <c r="H172" s="3">
        <f>0.056265*F172</f>
        <v>0</v>
      </c>
      <c r="I172" s="3"/>
      <c r="J172" s="3" t="s">
        <v>299</v>
      </c>
    </row>
    <row r="173" spans="1:10" ht="46.9" hidden="1" customHeight="1">
      <c r="A173" s="7" t="s">
        <v>360</v>
      </c>
      <c r="B173" s="4">
        <v>3700067</v>
      </c>
      <c r="C173" s="3"/>
      <c r="D173" s="9" t="s">
        <v>456</v>
      </c>
      <c r="E173" s="4">
        <v>4</v>
      </c>
      <c r="F173" s="10"/>
      <c r="G173" s="3">
        <f>4.02*F173</f>
        <v>0</v>
      </c>
      <c r="H173" s="3">
        <f>0.0193325*F173</f>
        <v>0</v>
      </c>
      <c r="I173" s="3"/>
      <c r="J173" s="3" t="s">
        <v>299</v>
      </c>
    </row>
    <row r="174" spans="1:10" ht="46.9" hidden="1" customHeight="1">
      <c r="A174" s="7" t="s">
        <v>360</v>
      </c>
      <c r="B174" s="4">
        <v>3700418</v>
      </c>
      <c r="C174" s="3"/>
      <c r="D174" s="9" t="s">
        <v>457</v>
      </c>
      <c r="E174" s="4">
        <v>2</v>
      </c>
      <c r="F174" s="10"/>
      <c r="G174" s="3">
        <f>7.02*F174</f>
        <v>0</v>
      </c>
      <c r="H174" s="3">
        <f>0.033078125*F174</f>
        <v>0</v>
      </c>
      <c r="I174" s="3"/>
      <c r="J174" s="3" t="s">
        <v>299</v>
      </c>
    </row>
    <row r="175" spans="1:10" ht="46.9" hidden="1" customHeight="1">
      <c r="A175" s="7" t="s">
        <v>360</v>
      </c>
      <c r="B175" s="4">
        <v>2801352</v>
      </c>
      <c r="C175" s="3"/>
      <c r="D175" s="9" t="s">
        <v>458</v>
      </c>
      <c r="E175" s="4">
        <v>4</v>
      </c>
      <c r="F175" s="10"/>
      <c r="G175" s="3">
        <f>3.28*F175</f>
        <v>0</v>
      </c>
      <c r="H175" s="3">
        <f>0.014877*F175</f>
        <v>0</v>
      </c>
      <c r="I175" s="3"/>
      <c r="J175" s="3" t="s">
        <v>299</v>
      </c>
    </row>
    <row r="176" spans="1:10" ht="46.9" hidden="1" customHeight="1">
      <c r="A176" s="7" t="s">
        <v>300</v>
      </c>
      <c r="B176" s="4">
        <v>1100069</v>
      </c>
      <c r="C176" s="3"/>
      <c r="D176" s="9" t="s">
        <v>459</v>
      </c>
      <c r="E176" s="4">
        <v>6</v>
      </c>
      <c r="F176" s="10"/>
      <c r="G176" s="3">
        <f>1.96*F176</f>
        <v>0</v>
      </c>
      <c r="H176" s="3">
        <f>0.009*F176</f>
        <v>0</v>
      </c>
      <c r="I176" s="3"/>
      <c r="J176" s="3" t="s">
        <v>299</v>
      </c>
    </row>
    <row r="177" spans="1:10" ht="18.75" hidden="1">
      <c r="A177" s="6"/>
      <c r="B177" s="19" t="s">
        <v>460</v>
      </c>
      <c r="C177" s="20"/>
      <c r="D177" s="20"/>
      <c r="E177" s="20"/>
      <c r="F177" s="20"/>
      <c r="G177" s="20"/>
      <c r="H177" s="20"/>
      <c r="I177" s="20"/>
      <c r="J177" s="21"/>
    </row>
    <row r="178" spans="1:10" ht="46.9" hidden="1" customHeight="1">
      <c r="A178" s="7" t="s">
        <v>360</v>
      </c>
      <c r="B178" s="4">
        <v>2307300</v>
      </c>
      <c r="C178" s="3"/>
      <c r="D178" s="9" t="s">
        <v>461</v>
      </c>
      <c r="E178" s="4">
        <v>6</v>
      </c>
      <c r="F178" s="10"/>
      <c r="G178" s="3">
        <f>1.17*F178</f>
        <v>0</v>
      </c>
      <c r="H178" s="3">
        <f>0.004666667*F178</f>
        <v>0</v>
      </c>
      <c r="I178" s="3"/>
      <c r="J178" s="3" t="s">
        <v>299</v>
      </c>
    </row>
    <row r="179" spans="1:10" ht="46.9" customHeight="1">
      <c r="A179" s="7" t="s">
        <v>360</v>
      </c>
      <c r="B179" s="4">
        <v>2307301</v>
      </c>
      <c r="C179" s="3"/>
      <c r="D179" s="9" t="s">
        <v>462</v>
      </c>
      <c r="E179" s="4">
        <v>6</v>
      </c>
      <c r="F179" s="10">
        <v>1</v>
      </c>
      <c r="G179" s="3">
        <f>1.5*F179</f>
        <v>1.5</v>
      </c>
      <c r="H179" s="3">
        <f>0.005786667*F179</f>
        <v>5.7866669999999997E-3</v>
      </c>
      <c r="I179" s="3"/>
      <c r="J179" s="3" t="s">
        <v>299</v>
      </c>
    </row>
    <row r="180" spans="1:10" ht="46.9" hidden="1" customHeight="1">
      <c r="A180" s="7" t="s">
        <v>360</v>
      </c>
      <c r="B180" s="4">
        <v>2307302</v>
      </c>
      <c r="C180" s="3"/>
      <c r="D180" s="9" t="s">
        <v>463</v>
      </c>
      <c r="E180" s="4">
        <v>6</v>
      </c>
      <c r="F180" s="10"/>
      <c r="G180" s="3">
        <f>1.92*F180</f>
        <v>0</v>
      </c>
      <c r="H180" s="3">
        <f>0.007466667*F180</f>
        <v>0</v>
      </c>
      <c r="I180" s="3"/>
      <c r="J180" s="3" t="s">
        <v>299</v>
      </c>
    </row>
    <row r="181" spans="1:10" ht="46.9" hidden="1" customHeight="1">
      <c r="A181" s="7" t="s">
        <v>360</v>
      </c>
      <c r="B181" s="4">
        <v>2307303</v>
      </c>
      <c r="C181" s="3"/>
      <c r="D181" s="9" t="s">
        <v>464</v>
      </c>
      <c r="E181" s="4">
        <v>4</v>
      </c>
      <c r="F181" s="10"/>
      <c r="G181" s="3">
        <f>2.6*F181</f>
        <v>0</v>
      </c>
      <c r="H181" s="3">
        <f>0.00965925*F181</f>
        <v>0</v>
      </c>
      <c r="I181" s="3"/>
      <c r="J181" s="3" t="s">
        <v>299</v>
      </c>
    </row>
    <row r="182" spans="1:10" ht="46.9" hidden="1" customHeight="1">
      <c r="A182" s="7" t="s">
        <v>360</v>
      </c>
      <c r="B182" s="4">
        <v>2307305</v>
      </c>
      <c r="C182" s="3"/>
      <c r="D182" s="9" t="s">
        <v>465</v>
      </c>
      <c r="E182" s="4">
        <v>4</v>
      </c>
      <c r="F182" s="10"/>
      <c r="G182" s="3">
        <f>3.45*F182</f>
        <v>0</v>
      </c>
      <c r="H182" s="3">
        <f>0.01273325*F182</f>
        <v>0</v>
      </c>
      <c r="I182" s="3"/>
      <c r="J182" s="3" t="s">
        <v>299</v>
      </c>
    </row>
    <row r="183" spans="1:10" ht="46.9" hidden="1" customHeight="1">
      <c r="A183" s="7" t="s">
        <v>360</v>
      </c>
      <c r="B183" s="4">
        <v>2307306</v>
      </c>
      <c r="C183" s="3"/>
      <c r="D183" s="9" t="s">
        <v>466</v>
      </c>
      <c r="E183" s="4">
        <v>6</v>
      </c>
      <c r="F183" s="10"/>
      <c r="G183" s="3">
        <f>1.75*F183</f>
        <v>0</v>
      </c>
      <c r="H183" s="3">
        <f>0.007153333*F183</f>
        <v>0</v>
      </c>
      <c r="I183" s="3"/>
      <c r="J183" s="3" t="s">
        <v>299</v>
      </c>
    </row>
    <row r="184" spans="1:10" ht="46.9" hidden="1" customHeight="1">
      <c r="A184" s="7" t="s">
        <v>360</v>
      </c>
      <c r="B184" s="4">
        <v>2307307</v>
      </c>
      <c r="C184" s="3"/>
      <c r="D184" s="9" t="s">
        <v>467</v>
      </c>
      <c r="E184" s="4">
        <v>6</v>
      </c>
      <c r="F184" s="10"/>
      <c r="G184" s="3">
        <f>2*F184</f>
        <v>0</v>
      </c>
      <c r="H184" s="3">
        <f>0.009746667*F184</f>
        <v>0</v>
      </c>
      <c r="I184" s="3"/>
      <c r="J184" s="3" t="s">
        <v>299</v>
      </c>
    </row>
    <row r="185" spans="1:10" ht="46.9" hidden="1" customHeight="1">
      <c r="A185" s="7" t="s">
        <v>360</v>
      </c>
      <c r="B185" s="4">
        <v>2307308</v>
      </c>
      <c r="C185" s="3"/>
      <c r="D185" s="9" t="s">
        <v>468</v>
      </c>
      <c r="E185" s="4">
        <v>6</v>
      </c>
      <c r="F185" s="10"/>
      <c r="G185" s="3">
        <f>1.78*F185</f>
        <v>0</v>
      </c>
      <c r="H185" s="3">
        <f>0.00988*F185</f>
        <v>0</v>
      </c>
      <c r="I185" s="3"/>
      <c r="J185" s="3" t="s">
        <v>299</v>
      </c>
    </row>
    <row r="186" spans="1:10" ht="46.9" hidden="1" customHeight="1">
      <c r="A186" s="7" t="s">
        <v>360</v>
      </c>
      <c r="B186" s="4">
        <v>2307313</v>
      </c>
      <c r="C186" s="3"/>
      <c r="D186" s="9" t="s">
        <v>469</v>
      </c>
      <c r="E186" s="4">
        <v>4</v>
      </c>
      <c r="F186" s="10"/>
      <c r="G186" s="3">
        <f>1.5*F186</f>
        <v>0</v>
      </c>
      <c r="H186" s="3">
        <f>0.013284*F186</f>
        <v>0</v>
      </c>
      <c r="I186" s="3"/>
      <c r="J186" s="3" t="s">
        <v>299</v>
      </c>
    </row>
    <row r="187" spans="1:10" ht="46.9" hidden="1" customHeight="1">
      <c r="A187" s="7" t="s">
        <v>360</v>
      </c>
      <c r="B187" s="4">
        <v>2307314</v>
      </c>
      <c r="C187" s="3"/>
      <c r="D187" s="9" t="s">
        <v>470</v>
      </c>
      <c r="E187" s="4">
        <v>4</v>
      </c>
      <c r="F187" s="10"/>
      <c r="G187" s="3">
        <f>1.75*F187</f>
        <v>0</v>
      </c>
      <c r="H187" s="3">
        <f>0.01581*F187</f>
        <v>0</v>
      </c>
      <c r="I187" s="3"/>
      <c r="J187" s="3" t="s">
        <v>299</v>
      </c>
    </row>
    <row r="188" spans="1:10" ht="46.9" customHeight="1">
      <c r="A188" s="7" t="s">
        <v>360</v>
      </c>
      <c r="B188" s="4">
        <v>2307315</v>
      </c>
      <c r="C188" s="3"/>
      <c r="D188" s="9" t="s">
        <v>471</v>
      </c>
      <c r="E188" s="4">
        <v>8</v>
      </c>
      <c r="F188" s="10">
        <v>2</v>
      </c>
      <c r="G188" s="3">
        <f>1.28*F188</f>
        <v>2.56</v>
      </c>
      <c r="H188" s="3">
        <f>0.0058305*F188</f>
        <v>1.1660999999999999E-2</v>
      </c>
      <c r="I188" s="3"/>
      <c r="J188" s="3" t="s">
        <v>299</v>
      </c>
    </row>
    <row r="189" spans="1:10" ht="46.9" hidden="1" customHeight="1">
      <c r="A189" s="7" t="s">
        <v>360</v>
      </c>
      <c r="B189" s="4">
        <v>2307309</v>
      </c>
      <c r="C189" s="3"/>
      <c r="D189" s="9" t="s">
        <v>472</v>
      </c>
      <c r="E189" s="4">
        <v>6</v>
      </c>
      <c r="F189" s="10"/>
      <c r="G189" s="3">
        <f>2*F189</f>
        <v>0</v>
      </c>
      <c r="H189" s="3">
        <f>0.009650667*F189</f>
        <v>0</v>
      </c>
      <c r="I189" s="3"/>
      <c r="J189" s="3" t="s">
        <v>299</v>
      </c>
    </row>
    <row r="190" spans="1:10" ht="46.9" hidden="1" customHeight="1">
      <c r="A190" s="7" t="s">
        <v>360</v>
      </c>
      <c r="B190" s="4">
        <v>2307310</v>
      </c>
      <c r="C190" s="3"/>
      <c r="D190" s="9" t="s">
        <v>473</v>
      </c>
      <c r="E190" s="4">
        <v>4</v>
      </c>
      <c r="F190" s="10"/>
      <c r="G190" s="3">
        <f>1.83*F190</f>
        <v>0</v>
      </c>
      <c r="H190" s="3">
        <f>0.014508*F190</f>
        <v>0</v>
      </c>
      <c r="I190" s="3"/>
      <c r="J190" s="3" t="s">
        <v>299</v>
      </c>
    </row>
    <row r="191" spans="1:10" ht="46.9" hidden="1" customHeight="1">
      <c r="A191" s="7" t="s">
        <v>360</v>
      </c>
      <c r="B191" s="4">
        <v>2307311</v>
      </c>
      <c r="C191" s="3"/>
      <c r="D191" s="9" t="s">
        <v>474</v>
      </c>
      <c r="E191" s="4">
        <v>4</v>
      </c>
      <c r="F191" s="10"/>
      <c r="G191" s="3">
        <f>3.5*F191</f>
        <v>0</v>
      </c>
      <c r="H191" s="3">
        <f>0.01776*F191</f>
        <v>0</v>
      </c>
      <c r="I191" s="3"/>
      <c r="J191" s="3" t="s">
        <v>299</v>
      </c>
    </row>
    <row r="192" spans="1:10" ht="46.9" hidden="1" customHeight="1">
      <c r="A192" s="7" t="s">
        <v>360</v>
      </c>
      <c r="B192" s="4">
        <v>2307316</v>
      </c>
      <c r="C192" s="3"/>
      <c r="D192" s="9" t="s">
        <v>475</v>
      </c>
      <c r="E192" s="4">
        <v>4</v>
      </c>
      <c r="F192" s="10"/>
      <c r="G192" s="3">
        <f>3.13*F192</f>
        <v>0</v>
      </c>
      <c r="H192" s="3">
        <f>0.019285*F192</f>
        <v>0</v>
      </c>
      <c r="I192" s="3"/>
      <c r="J192" s="3" t="s">
        <v>299</v>
      </c>
    </row>
    <row r="193" spans="1:10" ht="46.9" hidden="1" customHeight="1">
      <c r="A193" s="7" t="s">
        <v>360</v>
      </c>
      <c r="B193" s="4">
        <v>2307319</v>
      </c>
      <c r="C193" s="3"/>
      <c r="D193" s="9" t="s">
        <v>476</v>
      </c>
      <c r="E193" s="4">
        <v>4</v>
      </c>
      <c r="F193" s="10"/>
      <c r="G193" s="3">
        <f>3.35*F193</f>
        <v>0</v>
      </c>
      <c r="H193" s="3">
        <f>0.013888*F193</f>
        <v>0</v>
      </c>
      <c r="I193" s="3"/>
      <c r="J193" s="3" t="s">
        <v>299</v>
      </c>
    </row>
    <row r="194" spans="1:10" ht="46.9" hidden="1" customHeight="1">
      <c r="A194" s="7" t="s">
        <v>360</v>
      </c>
      <c r="B194" s="4">
        <v>2307351</v>
      </c>
      <c r="C194" s="3"/>
      <c r="D194" s="9" t="s">
        <v>477</v>
      </c>
      <c r="E194" s="4">
        <v>2</v>
      </c>
      <c r="F194" s="10"/>
      <c r="G194" s="3">
        <f>6.3*F194</f>
        <v>0</v>
      </c>
      <c r="H194" s="3">
        <f>0.01785*F194</f>
        <v>0</v>
      </c>
      <c r="I194" s="3"/>
      <c r="J194" s="3" t="s">
        <v>299</v>
      </c>
    </row>
    <row r="195" spans="1:10" ht="46.9" hidden="1" customHeight="1">
      <c r="A195" s="7" t="s">
        <v>360</v>
      </c>
      <c r="B195" s="4">
        <v>2307352</v>
      </c>
      <c r="C195" s="3"/>
      <c r="D195" s="9" t="s">
        <v>478</v>
      </c>
      <c r="E195" s="4">
        <v>2</v>
      </c>
      <c r="F195" s="10"/>
      <c r="G195" s="3">
        <f>8.2*F195</f>
        <v>0</v>
      </c>
      <c r="H195" s="3">
        <f>0.023256*F195</f>
        <v>0</v>
      </c>
      <c r="I195" s="3"/>
      <c r="J195" s="3" t="s">
        <v>299</v>
      </c>
    </row>
    <row r="196" spans="1:10" ht="46.9" hidden="1" customHeight="1">
      <c r="A196" s="7" t="s">
        <v>360</v>
      </c>
      <c r="B196" s="4">
        <v>2307353</v>
      </c>
      <c r="C196" s="3"/>
      <c r="D196" s="9" t="s">
        <v>479</v>
      </c>
      <c r="E196" s="4">
        <v>2</v>
      </c>
      <c r="F196" s="10"/>
      <c r="G196" s="3">
        <f>6.6*F196</f>
        <v>0</v>
      </c>
      <c r="H196" s="3">
        <f>0.018734*F196</f>
        <v>0</v>
      </c>
      <c r="I196" s="3"/>
      <c r="J196" s="3" t="s">
        <v>299</v>
      </c>
    </row>
    <row r="197" spans="1:10" ht="46.9" hidden="1" customHeight="1">
      <c r="A197" s="7" t="s">
        <v>360</v>
      </c>
      <c r="B197" s="4">
        <v>2307354</v>
      </c>
      <c r="C197" s="3"/>
      <c r="D197" s="9" t="s">
        <v>480</v>
      </c>
      <c r="E197" s="4">
        <v>2</v>
      </c>
      <c r="F197" s="10"/>
      <c r="G197" s="3">
        <f>6.75*F197</f>
        <v>0</v>
      </c>
      <c r="H197" s="3">
        <f>0.016524*F197</f>
        <v>0</v>
      </c>
      <c r="I197" s="3"/>
      <c r="J197" s="3" t="s">
        <v>299</v>
      </c>
    </row>
    <row r="198" spans="1:10" ht="46.9" customHeight="1">
      <c r="A198" s="7" t="s">
        <v>355</v>
      </c>
      <c r="B198" s="4">
        <v>1103891</v>
      </c>
      <c r="C198" s="3"/>
      <c r="D198" s="9" t="s">
        <v>481</v>
      </c>
      <c r="E198" s="4">
        <v>5</v>
      </c>
      <c r="F198" s="10">
        <v>2</v>
      </c>
      <c r="G198" s="3">
        <f>1*F198</f>
        <v>2</v>
      </c>
      <c r="H198" s="3">
        <f>0.0055224*F198</f>
        <v>1.10448E-2</v>
      </c>
      <c r="I198" s="3"/>
      <c r="J198" s="3" t="s">
        <v>299</v>
      </c>
    </row>
    <row r="199" spans="1:10" ht="46.9" hidden="1" customHeight="1">
      <c r="A199" s="7" t="s">
        <v>355</v>
      </c>
      <c r="B199" s="4">
        <v>2304150</v>
      </c>
      <c r="C199" s="3"/>
      <c r="D199" s="9" t="s">
        <v>482</v>
      </c>
      <c r="E199" s="4">
        <v>4</v>
      </c>
      <c r="F199" s="10"/>
      <c r="G199" s="3">
        <f>2.92*F199</f>
        <v>0</v>
      </c>
      <c r="H199" s="3">
        <f>0.02001825*F199</f>
        <v>0</v>
      </c>
      <c r="I199" s="3"/>
      <c r="J199" s="3" t="s">
        <v>299</v>
      </c>
    </row>
    <row r="200" spans="1:10" ht="46.9" customHeight="1">
      <c r="A200" s="7" t="s">
        <v>360</v>
      </c>
      <c r="B200" s="4">
        <v>2304900</v>
      </c>
      <c r="C200" s="3"/>
      <c r="D200" s="9" t="s">
        <v>483</v>
      </c>
      <c r="E200" s="4">
        <v>4</v>
      </c>
      <c r="F200" s="10">
        <v>2</v>
      </c>
      <c r="G200" s="3">
        <f>1.73*F200</f>
        <v>3.46</v>
      </c>
      <c r="H200" s="3">
        <f>0.010044*F200</f>
        <v>2.0088000000000002E-2</v>
      </c>
      <c r="I200" s="3"/>
      <c r="J200" s="3" t="s">
        <v>299</v>
      </c>
    </row>
    <row r="201" spans="1:10" ht="46.9" hidden="1" customHeight="1">
      <c r="A201" s="7" t="s">
        <v>355</v>
      </c>
      <c r="B201" s="4">
        <v>2304907</v>
      </c>
      <c r="C201" s="3"/>
      <c r="D201" s="9" t="s">
        <v>484</v>
      </c>
      <c r="E201" s="4">
        <v>4</v>
      </c>
      <c r="F201" s="10"/>
      <c r="G201" s="3">
        <f>2.92*F201</f>
        <v>0</v>
      </c>
      <c r="H201" s="3">
        <f>0.02001825*F201</f>
        <v>0</v>
      </c>
      <c r="I201" s="3"/>
      <c r="J201" s="3" t="s">
        <v>299</v>
      </c>
    </row>
    <row r="202" spans="1:10" ht="46.9" customHeight="1">
      <c r="A202" s="7" t="s">
        <v>355</v>
      </c>
      <c r="B202" s="4">
        <v>2304911</v>
      </c>
      <c r="C202" s="3"/>
      <c r="D202" s="9" t="s">
        <v>485</v>
      </c>
      <c r="E202" s="4">
        <v>6</v>
      </c>
      <c r="F202" s="10">
        <v>1</v>
      </c>
      <c r="G202" s="3">
        <f>1.83*F202</f>
        <v>1.83</v>
      </c>
      <c r="H202" s="3">
        <f>0.006663708*F202</f>
        <v>6.663708E-3</v>
      </c>
      <c r="I202" s="3"/>
      <c r="J202" s="3" t="s">
        <v>299</v>
      </c>
    </row>
    <row r="203" spans="1:10" ht="46.9" hidden="1" customHeight="1">
      <c r="A203" s="7" t="s">
        <v>360</v>
      </c>
      <c r="B203" s="4">
        <v>2304912</v>
      </c>
      <c r="C203" s="3"/>
      <c r="D203" s="9" t="s">
        <v>486</v>
      </c>
      <c r="E203" s="4">
        <v>4</v>
      </c>
      <c r="F203" s="10"/>
      <c r="G203" s="3">
        <f>2.26*F203</f>
        <v>0</v>
      </c>
      <c r="H203" s="3">
        <f>0.009937813*F203</f>
        <v>0</v>
      </c>
      <c r="I203" s="3"/>
      <c r="J203" s="3" t="s">
        <v>299</v>
      </c>
    </row>
    <row r="204" spans="1:10" ht="46.9" hidden="1" customHeight="1">
      <c r="A204" s="7" t="s">
        <v>360</v>
      </c>
      <c r="B204" s="4">
        <v>8500138</v>
      </c>
      <c r="C204" s="3"/>
      <c r="D204" s="9" t="s">
        <v>486</v>
      </c>
      <c r="E204" s="4">
        <v>4</v>
      </c>
      <c r="F204" s="10"/>
      <c r="G204" s="3">
        <f>2.37*F204</f>
        <v>0</v>
      </c>
      <c r="H204" s="3">
        <f>0.009668625*F204</f>
        <v>0</v>
      </c>
      <c r="I204" s="3"/>
      <c r="J204" s="3" t="s">
        <v>299</v>
      </c>
    </row>
    <row r="205" spans="1:10" ht="46.9" customHeight="1">
      <c r="A205" s="7" t="s">
        <v>360</v>
      </c>
      <c r="B205" s="4">
        <v>2304936</v>
      </c>
      <c r="C205" s="3"/>
      <c r="D205" s="9" t="s">
        <v>487</v>
      </c>
      <c r="E205" s="4">
        <v>6</v>
      </c>
      <c r="F205" s="10">
        <v>1</v>
      </c>
      <c r="G205" s="3">
        <f>1.02*F205</f>
        <v>1.02</v>
      </c>
      <c r="H205" s="3">
        <f>0.004188375*F205</f>
        <v>4.1883750000000003E-3</v>
      </c>
      <c r="I205" s="3"/>
      <c r="J205" s="3" t="s">
        <v>299</v>
      </c>
    </row>
    <row r="206" spans="1:10" ht="46.9" hidden="1" customHeight="1">
      <c r="A206" s="7" t="s">
        <v>355</v>
      </c>
      <c r="B206" s="4">
        <v>2304686</v>
      </c>
      <c r="C206" s="3"/>
      <c r="D206" s="9" t="s">
        <v>488</v>
      </c>
      <c r="E206" s="4">
        <v>6</v>
      </c>
      <c r="F206" s="10"/>
      <c r="G206" s="3">
        <f>1.47*F206</f>
        <v>0</v>
      </c>
      <c r="H206" s="3">
        <f>0.007176*F206</f>
        <v>0</v>
      </c>
      <c r="I206" s="3"/>
      <c r="J206" s="3" t="s">
        <v>299</v>
      </c>
    </row>
    <row r="207" spans="1:10" ht="46.9" hidden="1" customHeight="1">
      <c r="A207" s="7" t="s">
        <v>360</v>
      </c>
      <c r="B207" s="4">
        <v>2304934</v>
      </c>
      <c r="C207" s="3"/>
      <c r="D207" s="9" t="s">
        <v>489</v>
      </c>
      <c r="E207" s="4">
        <v>6</v>
      </c>
      <c r="F207" s="10"/>
      <c r="G207" s="3">
        <f>1.75*F207</f>
        <v>0</v>
      </c>
      <c r="H207" s="3">
        <f>0.00714*F207</f>
        <v>0</v>
      </c>
      <c r="I207" s="3"/>
      <c r="J207" s="3" t="s">
        <v>299</v>
      </c>
    </row>
    <row r="208" spans="1:10" ht="46.9" hidden="1" customHeight="1">
      <c r="A208" s="7" t="s">
        <v>360</v>
      </c>
      <c r="B208" s="4">
        <v>2304935</v>
      </c>
      <c r="C208" s="3"/>
      <c r="D208" s="9" t="s">
        <v>490</v>
      </c>
      <c r="E208" s="4">
        <v>4</v>
      </c>
      <c r="F208" s="10"/>
      <c r="G208" s="3">
        <f>2.22*F208</f>
        <v>0</v>
      </c>
      <c r="H208" s="3">
        <f>0.009668625*F208</f>
        <v>0</v>
      </c>
      <c r="I208" s="3"/>
      <c r="J208" s="3" t="s">
        <v>299</v>
      </c>
    </row>
    <row r="209" spans="1:10" ht="46.9" hidden="1" customHeight="1">
      <c r="A209" s="7" t="s">
        <v>355</v>
      </c>
      <c r="B209" s="4">
        <v>2306024</v>
      </c>
      <c r="C209" s="3"/>
      <c r="D209" s="9" t="s">
        <v>491</v>
      </c>
      <c r="E209" s="4">
        <v>6</v>
      </c>
      <c r="F209" s="10"/>
      <c r="G209" s="3">
        <f>1.03*F209</f>
        <v>0</v>
      </c>
      <c r="H209" s="3">
        <f>0.00457875*F209</f>
        <v>0</v>
      </c>
      <c r="I209" s="3"/>
      <c r="J209" s="3" t="s">
        <v>299</v>
      </c>
    </row>
    <row r="210" spans="1:10" ht="46.9" hidden="1" customHeight="1">
      <c r="A210" s="7" t="s">
        <v>360</v>
      </c>
      <c r="B210" s="4">
        <v>2306500</v>
      </c>
      <c r="C210" s="3"/>
      <c r="D210" s="9" t="s">
        <v>492</v>
      </c>
      <c r="E210" s="4">
        <v>4</v>
      </c>
      <c r="F210" s="10"/>
      <c r="G210" s="3">
        <f>2.25*F210</f>
        <v>0</v>
      </c>
      <c r="H210" s="3">
        <f>0.017283906*F210</f>
        <v>0</v>
      </c>
      <c r="I210" s="3"/>
      <c r="J210" s="3" t="s">
        <v>299</v>
      </c>
    </row>
    <row r="211" spans="1:10" ht="46.9" hidden="1" customHeight="1">
      <c r="A211" s="7" t="s">
        <v>360</v>
      </c>
      <c r="B211" s="4">
        <v>2307200</v>
      </c>
      <c r="C211" s="3"/>
      <c r="D211" s="9" t="s">
        <v>493</v>
      </c>
      <c r="E211" s="4">
        <v>6</v>
      </c>
      <c r="F211" s="10"/>
      <c r="G211" s="3">
        <f>1.01*F211</f>
        <v>0</v>
      </c>
      <c r="H211" s="3">
        <f>0.004657375*F211</f>
        <v>0</v>
      </c>
      <c r="I211" s="3"/>
      <c r="J211" s="3" t="s">
        <v>299</v>
      </c>
    </row>
    <row r="212" spans="1:10" ht="46.9" customHeight="1">
      <c r="A212" s="7" t="s">
        <v>360</v>
      </c>
      <c r="B212" s="4">
        <v>2307202</v>
      </c>
      <c r="C212" s="3"/>
      <c r="D212" s="9" t="s">
        <v>494</v>
      </c>
      <c r="E212" s="4">
        <v>6</v>
      </c>
      <c r="F212" s="10">
        <v>1</v>
      </c>
      <c r="G212" s="3">
        <f>1.49*F212</f>
        <v>1.49</v>
      </c>
      <c r="H212" s="3">
        <f>0.006716*F212</f>
        <v>6.7159999999999997E-3</v>
      </c>
      <c r="I212" s="3"/>
      <c r="J212" s="3" t="s">
        <v>299</v>
      </c>
    </row>
    <row r="213" spans="1:10" ht="46.9" hidden="1" customHeight="1">
      <c r="A213" s="7" t="s">
        <v>360</v>
      </c>
      <c r="B213" s="4">
        <v>2307204</v>
      </c>
      <c r="C213" s="3"/>
      <c r="D213" s="9" t="s">
        <v>495</v>
      </c>
      <c r="E213" s="4">
        <v>4</v>
      </c>
      <c r="F213" s="10"/>
      <c r="G213" s="3">
        <f>3*F213</f>
        <v>0</v>
      </c>
      <c r="H213" s="3">
        <f>0.014396*F213</f>
        <v>0</v>
      </c>
      <c r="I213" s="3"/>
      <c r="J213" s="3" t="s">
        <v>299</v>
      </c>
    </row>
    <row r="214" spans="1:10" ht="46.9" customHeight="1">
      <c r="A214" s="7" t="s">
        <v>360</v>
      </c>
      <c r="B214" s="4">
        <v>2307207</v>
      </c>
      <c r="C214" s="3"/>
      <c r="D214" s="9" t="s">
        <v>496</v>
      </c>
      <c r="E214" s="4">
        <v>6</v>
      </c>
      <c r="F214" s="10">
        <v>1</v>
      </c>
      <c r="G214" s="3">
        <f>1.85*F214</f>
        <v>1.85</v>
      </c>
      <c r="H214" s="3">
        <f>0.00950625*F214</f>
        <v>9.5062500000000008E-3</v>
      </c>
      <c r="I214" s="3"/>
      <c r="J214" s="3" t="s">
        <v>299</v>
      </c>
    </row>
    <row r="215" spans="1:10" ht="46.9" hidden="1" customHeight="1">
      <c r="A215" s="7" t="s">
        <v>360</v>
      </c>
      <c r="B215" s="4">
        <v>2307209</v>
      </c>
      <c r="C215" s="3"/>
      <c r="D215" s="9" t="s">
        <v>497</v>
      </c>
      <c r="E215" s="4">
        <v>6</v>
      </c>
      <c r="F215" s="10"/>
      <c r="G215" s="3">
        <f>2*F215</f>
        <v>0</v>
      </c>
      <c r="H215" s="3">
        <f>0.010984375*F215</f>
        <v>0</v>
      </c>
      <c r="I215" s="3"/>
      <c r="J215" s="3" t="s">
        <v>299</v>
      </c>
    </row>
    <row r="216" spans="1:10" ht="46.9" hidden="1" customHeight="1">
      <c r="A216" s="7" t="s">
        <v>360</v>
      </c>
      <c r="B216" s="4">
        <v>2307212</v>
      </c>
      <c r="C216" s="3"/>
      <c r="D216" s="9" t="s">
        <v>498</v>
      </c>
      <c r="E216" s="4">
        <v>6</v>
      </c>
      <c r="F216" s="10"/>
      <c r="G216" s="3">
        <f>1.71*F216</f>
        <v>0</v>
      </c>
      <c r="H216" s="3">
        <f>0.006624625*F216</f>
        <v>0</v>
      </c>
      <c r="I216" s="3"/>
      <c r="J216" s="3" t="s">
        <v>299</v>
      </c>
    </row>
    <row r="217" spans="1:10" ht="46.9" hidden="1" customHeight="1">
      <c r="A217" s="7" t="s">
        <v>360</v>
      </c>
      <c r="B217" s="4">
        <v>2307217</v>
      </c>
      <c r="C217" s="3"/>
      <c r="D217" s="9" t="s">
        <v>499</v>
      </c>
      <c r="E217" s="4">
        <v>6</v>
      </c>
      <c r="F217" s="10"/>
      <c r="G217" s="3">
        <f>1.25*F217</f>
        <v>0</v>
      </c>
      <c r="H217" s="3">
        <f>0.00581*F217</f>
        <v>0</v>
      </c>
      <c r="I217" s="3"/>
      <c r="J217" s="3" t="s">
        <v>299</v>
      </c>
    </row>
    <row r="218" spans="1:10" ht="46.9" hidden="1" customHeight="1">
      <c r="A218" s="7" t="s">
        <v>360</v>
      </c>
      <c r="B218" s="4">
        <v>2307219</v>
      </c>
      <c r="C218" s="3"/>
      <c r="D218" s="9" t="s">
        <v>500</v>
      </c>
      <c r="E218" s="4">
        <v>4</v>
      </c>
      <c r="F218" s="10"/>
      <c r="G218" s="3">
        <f>2.89*F218</f>
        <v>0</v>
      </c>
      <c r="H218" s="3">
        <f>0.017766*F218</f>
        <v>0</v>
      </c>
      <c r="I218" s="3"/>
      <c r="J218" s="3" t="s">
        <v>299</v>
      </c>
    </row>
    <row r="219" spans="1:10" ht="46.9" hidden="1" customHeight="1">
      <c r="A219" s="7" t="s">
        <v>360</v>
      </c>
      <c r="B219" s="4">
        <v>2307215</v>
      </c>
      <c r="C219" s="3"/>
      <c r="D219" s="9" t="s">
        <v>501</v>
      </c>
      <c r="E219" s="4">
        <v>6</v>
      </c>
      <c r="F219" s="10"/>
      <c r="G219" s="3">
        <f>1.43*F219</f>
        <v>0</v>
      </c>
      <c r="H219" s="3">
        <f>0.00697*F219</f>
        <v>0</v>
      </c>
      <c r="I219" s="3"/>
      <c r="J219" s="3" t="s">
        <v>299</v>
      </c>
    </row>
    <row r="220" spans="1:10" ht="46.9" hidden="1" customHeight="1">
      <c r="A220" s="7" t="s">
        <v>355</v>
      </c>
      <c r="B220" s="4">
        <v>2307227</v>
      </c>
      <c r="C220" s="3"/>
      <c r="D220" s="9" t="s">
        <v>502</v>
      </c>
      <c r="E220" s="4">
        <v>6</v>
      </c>
      <c r="F220" s="10"/>
      <c r="G220" s="3">
        <f>2.17*F220</f>
        <v>0</v>
      </c>
      <c r="H220" s="3">
        <f>0.00895125*F220</f>
        <v>0</v>
      </c>
      <c r="I220" s="3"/>
      <c r="J220" s="3" t="s">
        <v>299</v>
      </c>
    </row>
    <row r="221" spans="1:10" ht="46.9" hidden="1" customHeight="1">
      <c r="A221" s="7" t="s">
        <v>360</v>
      </c>
      <c r="B221" s="4">
        <v>2307222</v>
      </c>
      <c r="C221" s="3"/>
      <c r="D221" s="9" t="s">
        <v>503</v>
      </c>
      <c r="E221" s="4">
        <v>4</v>
      </c>
      <c r="F221" s="10"/>
      <c r="G221" s="3">
        <f>3.55*F221</f>
        <v>0</v>
      </c>
      <c r="H221" s="3">
        <f>0.012637969*F221</f>
        <v>0</v>
      </c>
      <c r="I221" s="3"/>
      <c r="J221" s="3" t="s">
        <v>299</v>
      </c>
    </row>
    <row r="222" spans="1:10" ht="46.9" hidden="1" customHeight="1">
      <c r="A222" s="7" t="s">
        <v>360</v>
      </c>
      <c r="B222" s="4">
        <v>2307223</v>
      </c>
      <c r="C222" s="3"/>
      <c r="D222" s="9" t="s">
        <v>504</v>
      </c>
      <c r="E222" s="4">
        <v>4</v>
      </c>
      <c r="F222" s="10"/>
      <c r="G222" s="3">
        <f>4.66*F222</f>
        <v>0</v>
      </c>
      <c r="H222" s="3">
        <f>0.0210105*F222</f>
        <v>0</v>
      </c>
      <c r="I222" s="3"/>
      <c r="J222" s="3" t="s">
        <v>299</v>
      </c>
    </row>
    <row r="223" spans="1:10" ht="46.9" hidden="1" customHeight="1">
      <c r="A223" s="7" t="s">
        <v>360</v>
      </c>
      <c r="B223" s="4">
        <v>2307225</v>
      </c>
      <c r="C223" s="3"/>
      <c r="D223" s="9" t="s">
        <v>505</v>
      </c>
      <c r="E223" s="4">
        <v>8</v>
      </c>
      <c r="F223" s="10"/>
      <c r="G223" s="3">
        <f>1.32*F223</f>
        <v>0</v>
      </c>
      <c r="H223" s="3">
        <f>0.004777781*F223</f>
        <v>0</v>
      </c>
      <c r="I223" s="3"/>
      <c r="J223" s="3" t="s">
        <v>299</v>
      </c>
    </row>
    <row r="224" spans="1:10" ht="46.9" hidden="1" customHeight="1">
      <c r="A224" s="7" t="s">
        <v>360</v>
      </c>
      <c r="B224" s="4">
        <v>3400035</v>
      </c>
      <c r="C224" s="3"/>
      <c r="D224" s="9" t="s">
        <v>506</v>
      </c>
      <c r="E224" s="4">
        <v>6</v>
      </c>
      <c r="F224" s="10"/>
      <c r="G224" s="3">
        <f>1.41*F224</f>
        <v>0</v>
      </c>
      <c r="H224" s="3">
        <f>0.005870625*F224</f>
        <v>0</v>
      </c>
      <c r="I224" s="3"/>
      <c r="J224" s="3" t="s">
        <v>299</v>
      </c>
    </row>
    <row r="225" spans="1:10" ht="46.9" hidden="1" customHeight="1">
      <c r="A225" s="7" t="s">
        <v>355</v>
      </c>
      <c r="B225" s="4">
        <v>3500902</v>
      </c>
      <c r="C225" s="3"/>
      <c r="D225" s="9" t="s">
        <v>507</v>
      </c>
      <c r="E225" s="4">
        <v>4</v>
      </c>
      <c r="F225" s="10"/>
      <c r="G225" s="3">
        <f>2.35*F225</f>
        <v>0</v>
      </c>
      <c r="H225" s="3">
        <f>0.00924*F225</f>
        <v>0</v>
      </c>
      <c r="I225" s="3"/>
      <c r="J225" s="3" t="s">
        <v>299</v>
      </c>
    </row>
    <row r="226" spans="1:10" ht="46.9" hidden="1" customHeight="1">
      <c r="A226" s="7" t="s">
        <v>355</v>
      </c>
      <c r="B226" s="4">
        <v>3501558</v>
      </c>
      <c r="C226" s="3"/>
      <c r="D226" s="9" t="s">
        <v>508</v>
      </c>
      <c r="E226" s="4">
        <v>8</v>
      </c>
      <c r="F226" s="10"/>
      <c r="G226" s="3">
        <f>1.08*F226</f>
        <v>0</v>
      </c>
      <c r="H226" s="3">
        <f>0.003973969*F226</f>
        <v>0</v>
      </c>
      <c r="I226" s="3"/>
      <c r="J226" s="3" t="s">
        <v>299</v>
      </c>
    </row>
    <row r="227" spans="1:10" ht="46.9" hidden="1" customHeight="1">
      <c r="A227" s="7" t="s">
        <v>355</v>
      </c>
      <c r="B227" s="4">
        <v>3501589</v>
      </c>
      <c r="C227" s="3"/>
      <c r="D227" s="9" t="s">
        <v>509</v>
      </c>
      <c r="E227" s="4">
        <v>6</v>
      </c>
      <c r="F227" s="10"/>
      <c r="G227" s="3">
        <f>1.61*F227</f>
        <v>0</v>
      </c>
      <c r="H227" s="3">
        <f>0.007921875*F227</f>
        <v>0</v>
      </c>
      <c r="I227" s="3"/>
      <c r="J227" s="3" t="s">
        <v>299</v>
      </c>
    </row>
    <row r="228" spans="1:10" ht="46.9" hidden="1" customHeight="1">
      <c r="A228" s="7" t="s">
        <v>355</v>
      </c>
      <c r="B228" s="4">
        <v>3700083</v>
      </c>
      <c r="C228" s="3"/>
      <c r="D228" s="9" t="s">
        <v>510</v>
      </c>
      <c r="E228" s="4">
        <v>6</v>
      </c>
      <c r="F228" s="10"/>
      <c r="G228" s="3">
        <f>1.42*F228</f>
        <v>0</v>
      </c>
      <c r="H228" s="3">
        <f>0.008893125*F228</f>
        <v>0</v>
      </c>
      <c r="I228" s="3"/>
      <c r="J228" s="3" t="s">
        <v>299</v>
      </c>
    </row>
    <row r="229" spans="1:10" ht="46.9" hidden="1" customHeight="1">
      <c r="A229" s="7" t="s">
        <v>355</v>
      </c>
      <c r="B229" s="4">
        <v>3700085</v>
      </c>
      <c r="C229" s="3"/>
      <c r="D229" s="9" t="s">
        <v>511</v>
      </c>
      <c r="E229" s="4">
        <v>6</v>
      </c>
      <c r="F229" s="10"/>
      <c r="G229" s="3">
        <f>3.04*F229</f>
        <v>0</v>
      </c>
      <c r="H229" s="3">
        <f>0.0198375*F229</f>
        <v>0</v>
      </c>
      <c r="I229" s="3"/>
      <c r="J229" s="3" t="s">
        <v>299</v>
      </c>
    </row>
    <row r="230" spans="1:10" ht="46.9" hidden="1" customHeight="1">
      <c r="A230" s="7" t="s">
        <v>355</v>
      </c>
      <c r="B230" s="4">
        <v>3700086</v>
      </c>
      <c r="C230" s="3"/>
      <c r="D230" s="9" t="s">
        <v>512</v>
      </c>
      <c r="E230" s="4">
        <v>6</v>
      </c>
      <c r="F230" s="10"/>
      <c r="G230" s="3">
        <f>2.66*F230</f>
        <v>0</v>
      </c>
      <c r="H230" s="3">
        <f>0.0182435*F230</f>
        <v>0</v>
      </c>
      <c r="I230" s="3"/>
      <c r="J230" s="3" t="s">
        <v>299</v>
      </c>
    </row>
    <row r="231" spans="1:10" ht="46.9" hidden="1" customHeight="1">
      <c r="A231" s="7" t="s">
        <v>355</v>
      </c>
      <c r="B231" s="4">
        <v>3700087</v>
      </c>
      <c r="C231" s="3"/>
      <c r="D231" s="9" t="s">
        <v>513</v>
      </c>
      <c r="E231" s="4">
        <v>6</v>
      </c>
      <c r="F231" s="10"/>
      <c r="G231" s="3">
        <f>2.47*F231</f>
        <v>0</v>
      </c>
      <c r="H231" s="3">
        <f>0.012069333*F231</f>
        <v>0</v>
      </c>
      <c r="I231" s="3"/>
      <c r="J231" s="3" t="s">
        <v>299</v>
      </c>
    </row>
    <row r="232" spans="1:10" ht="46.9" hidden="1" customHeight="1">
      <c r="A232" s="7" t="s">
        <v>355</v>
      </c>
      <c r="B232" s="4">
        <v>3700091</v>
      </c>
      <c r="C232" s="3"/>
      <c r="D232" s="9" t="s">
        <v>514</v>
      </c>
      <c r="E232" s="4">
        <v>6</v>
      </c>
      <c r="F232" s="10"/>
      <c r="G232" s="3">
        <f>1.08*F232</f>
        <v>0</v>
      </c>
      <c r="H232" s="3">
        <f>0.00855*F232</f>
        <v>0</v>
      </c>
      <c r="I232" s="3"/>
      <c r="J232" s="3" t="s">
        <v>299</v>
      </c>
    </row>
    <row r="233" spans="1:10" ht="46.9" hidden="1" customHeight="1">
      <c r="A233" s="7" t="s">
        <v>355</v>
      </c>
      <c r="B233" s="4">
        <v>3700093</v>
      </c>
      <c r="C233" s="3"/>
      <c r="D233" s="9" t="s">
        <v>515</v>
      </c>
      <c r="E233" s="4">
        <v>6</v>
      </c>
      <c r="F233" s="10"/>
      <c r="G233" s="3">
        <f>1.95*F233</f>
        <v>0</v>
      </c>
      <c r="H233" s="3">
        <f>0.00921475*F233</f>
        <v>0</v>
      </c>
      <c r="I233" s="3"/>
      <c r="J233" s="3" t="s">
        <v>299</v>
      </c>
    </row>
    <row r="234" spans="1:10" ht="46.9" hidden="1" customHeight="1">
      <c r="A234" s="7" t="s">
        <v>355</v>
      </c>
      <c r="B234" s="4">
        <v>3700112</v>
      </c>
      <c r="C234" s="3"/>
      <c r="D234" s="9" t="s">
        <v>516</v>
      </c>
      <c r="E234" s="4">
        <v>6</v>
      </c>
      <c r="F234" s="10"/>
      <c r="G234" s="3">
        <f>1.27*F234</f>
        <v>0</v>
      </c>
      <c r="H234" s="3">
        <f>0.008273333*F234</f>
        <v>0</v>
      </c>
      <c r="I234" s="3"/>
      <c r="J234" s="3" t="s">
        <v>299</v>
      </c>
    </row>
    <row r="235" spans="1:10" ht="46.9" hidden="1" customHeight="1">
      <c r="A235" s="7" t="s">
        <v>355</v>
      </c>
      <c r="B235" s="4">
        <v>3700113</v>
      </c>
      <c r="C235" s="3"/>
      <c r="D235" s="9" t="s">
        <v>517</v>
      </c>
      <c r="E235" s="4">
        <v>6</v>
      </c>
      <c r="F235" s="10"/>
      <c r="G235" s="3">
        <f>1.42*F235</f>
        <v>0</v>
      </c>
      <c r="H235" s="3">
        <f>0.008893125*F235</f>
        <v>0</v>
      </c>
      <c r="I235" s="3"/>
      <c r="J235" s="3" t="s">
        <v>299</v>
      </c>
    </row>
    <row r="236" spans="1:10" ht="46.9" hidden="1" customHeight="1">
      <c r="A236" s="7" t="s">
        <v>355</v>
      </c>
      <c r="B236" s="4">
        <v>3700116</v>
      </c>
      <c r="C236" s="3"/>
      <c r="D236" s="9" t="s">
        <v>518</v>
      </c>
      <c r="E236" s="4">
        <v>6</v>
      </c>
      <c r="F236" s="10"/>
      <c r="G236" s="3">
        <f>2.63*F236</f>
        <v>0</v>
      </c>
      <c r="H236" s="3">
        <f>0.018135*F236</f>
        <v>0</v>
      </c>
      <c r="I236" s="3"/>
      <c r="J236" s="3" t="s">
        <v>299</v>
      </c>
    </row>
    <row r="237" spans="1:10" ht="46.9" hidden="1" customHeight="1">
      <c r="A237" s="7" t="s">
        <v>355</v>
      </c>
      <c r="B237" s="4">
        <v>3700117</v>
      </c>
      <c r="C237" s="3"/>
      <c r="D237" s="9" t="s">
        <v>519</v>
      </c>
      <c r="E237" s="4">
        <v>6</v>
      </c>
      <c r="F237" s="10"/>
      <c r="G237" s="3">
        <f>2.47*F237</f>
        <v>0</v>
      </c>
      <c r="H237" s="3">
        <f>0.012069333*F237</f>
        <v>0</v>
      </c>
      <c r="I237" s="3"/>
      <c r="J237" s="3" t="s">
        <v>299</v>
      </c>
    </row>
    <row r="238" spans="1:10" ht="46.9" customHeight="1">
      <c r="A238" s="7" t="s">
        <v>355</v>
      </c>
      <c r="B238" s="4">
        <v>3700120</v>
      </c>
      <c r="C238" s="3"/>
      <c r="D238" s="9" t="s">
        <v>520</v>
      </c>
      <c r="E238" s="4">
        <v>6</v>
      </c>
      <c r="F238" s="10">
        <v>1</v>
      </c>
      <c r="G238" s="3">
        <f>0.84*F238</f>
        <v>0.84</v>
      </c>
      <c r="H238" s="3">
        <f>0.0064285*F238</f>
        <v>6.4285000000000002E-3</v>
      </c>
      <c r="I238" s="3"/>
      <c r="J238" s="3" t="s">
        <v>299</v>
      </c>
    </row>
    <row r="239" spans="1:10" ht="46.9" hidden="1" customHeight="1">
      <c r="A239" s="7" t="s">
        <v>355</v>
      </c>
      <c r="B239" s="4">
        <v>3700121</v>
      </c>
      <c r="C239" s="3"/>
      <c r="D239" s="9" t="s">
        <v>521</v>
      </c>
      <c r="E239" s="4">
        <v>6</v>
      </c>
      <c r="F239" s="10"/>
      <c r="G239" s="3">
        <f>1.08*F239</f>
        <v>0</v>
      </c>
      <c r="H239" s="3">
        <f>0.00855*F239</f>
        <v>0</v>
      </c>
      <c r="I239" s="3"/>
      <c r="J239" s="3" t="s">
        <v>299</v>
      </c>
    </row>
    <row r="240" spans="1:10" ht="46.9" hidden="1" customHeight="1">
      <c r="A240" s="7" t="s">
        <v>355</v>
      </c>
      <c r="B240" s="4">
        <v>3700123</v>
      </c>
      <c r="C240" s="3"/>
      <c r="D240" s="9" t="s">
        <v>522</v>
      </c>
      <c r="E240" s="4">
        <v>6</v>
      </c>
      <c r="F240" s="10"/>
      <c r="G240" s="3">
        <f>1.95*F240</f>
        <v>0</v>
      </c>
      <c r="H240" s="3">
        <f>0.009358875*F240</f>
        <v>0</v>
      </c>
      <c r="I240" s="3"/>
      <c r="J240" s="3" t="s">
        <v>299</v>
      </c>
    </row>
    <row r="241" spans="1:10" ht="46.9" hidden="1" customHeight="1">
      <c r="A241" s="7" t="s">
        <v>355</v>
      </c>
      <c r="B241" s="4">
        <v>3700144</v>
      </c>
      <c r="C241" s="3"/>
      <c r="D241" s="9" t="s">
        <v>523</v>
      </c>
      <c r="E241" s="4">
        <v>6</v>
      </c>
      <c r="F241" s="10"/>
      <c r="G241" s="3">
        <f>1.42*F241</f>
        <v>0</v>
      </c>
      <c r="H241" s="3">
        <f>0.008893125*F241</f>
        <v>0</v>
      </c>
      <c r="I241" s="3"/>
      <c r="J241" s="3" t="s">
        <v>299</v>
      </c>
    </row>
    <row r="242" spans="1:10" ht="46.9" hidden="1" customHeight="1">
      <c r="A242" s="7" t="s">
        <v>355</v>
      </c>
      <c r="B242" s="4">
        <v>3700146</v>
      </c>
      <c r="C242" s="3"/>
      <c r="D242" s="9" t="s">
        <v>524</v>
      </c>
      <c r="E242" s="4">
        <v>6</v>
      </c>
      <c r="F242" s="10"/>
      <c r="G242" s="3">
        <f>3.04*F242</f>
        <v>0</v>
      </c>
      <c r="H242" s="3">
        <f>0.0198375*F242</f>
        <v>0</v>
      </c>
      <c r="I242" s="3"/>
      <c r="J242" s="3" t="s">
        <v>299</v>
      </c>
    </row>
    <row r="243" spans="1:10" ht="46.9" hidden="1" customHeight="1">
      <c r="A243" s="7" t="s">
        <v>355</v>
      </c>
      <c r="B243" s="4">
        <v>3700147</v>
      </c>
      <c r="C243" s="3"/>
      <c r="D243" s="9" t="s">
        <v>525</v>
      </c>
      <c r="E243" s="4">
        <v>6</v>
      </c>
      <c r="F243" s="10"/>
      <c r="G243" s="3">
        <f>2.65*F243</f>
        <v>0</v>
      </c>
      <c r="H243" s="3">
        <f>0.018073*F243</f>
        <v>0</v>
      </c>
      <c r="I243" s="3"/>
      <c r="J243" s="3" t="s">
        <v>299</v>
      </c>
    </row>
    <row r="244" spans="1:10" ht="46.9" hidden="1" customHeight="1">
      <c r="A244" s="7" t="s">
        <v>355</v>
      </c>
      <c r="B244" s="4">
        <v>3700148</v>
      </c>
      <c r="C244" s="3"/>
      <c r="D244" s="9" t="s">
        <v>526</v>
      </c>
      <c r="E244" s="4">
        <v>6</v>
      </c>
      <c r="F244" s="10"/>
      <c r="G244" s="3">
        <f>2.47*F244</f>
        <v>0</v>
      </c>
      <c r="H244" s="3">
        <f>0.012069333*F244</f>
        <v>0</v>
      </c>
      <c r="I244" s="3"/>
      <c r="J244" s="3" t="s">
        <v>299</v>
      </c>
    </row>
    <row r="245" spans="1:10" ht="46.9" hidden="1" customHeight="1">
      <c r="A245" s="7" t="s">
        <v>355</v>
      </c>
      <c r="B245" s="4">
        <v>3700151</v>
      </c>
      <c r="C245" s="3"/>
      <c r="D245" s="9" t="s">
        <v>527</v>
      </c>
      <c r="E245" s="4">
        <v>6</v>
      </c>
      <c r="F245" s="10"/>
      <c r="G245" s="3">
        <f>0.84*F245</f>
        <v>0</v>
      </c>
      <c r="H245" s="3">
        <f>0.0064285*F245</f>
        <v>0</v>
      </c>
      <c r="I245" s="3"/>
      <c r="J245" s="3" t="s">
        <v>299</v>
      </c>
    </row>
    <row r="246" spans="1:10" ht="46.9" hidden="1" customHeight="1">
      <c r="A246" s="7" t="s">
        <v>355</v>
      </c>
      <c r="B246" s="4">
        <v>3700154</v>
      </c>
      <c r="C246" s="3"/>
      <c r="D246" s="9" t="s">
        <v>528</v>
      </c>
      <c r="E246" s="4">
        <v>6</v>
      </c>
      <c r="F246" s="10"/>
      <c r="G246" s="3">
        <f>1.95*F246</f>
        <v>0</v>
      </c>
      <c r="H246" s="3">
        <f>0.009348*F246</f>
        <v>0</v>
      </c>
      <c r="I246" s="3"/>
      <c r="J246" s="3" t="s">
        <v>299</v>
      </c>
    </row>
    <row r="247" spans="1:10" ht="46.9" hidden="1" customHeight="1">
      <c r="A247" s="7" t="s">
        <v>355</v>
      </c>
      <c r="B247" s="4">
        <v>3700155</v>
      </c>
      <c r="C247" s="3"/>
      <c r="D247" s="9" t="s">
        <v>529</v>
      </c>
      <c r="E247" s="4">
        <v>6</v>
      </c>
      <c r="F247" s="10"/>
      <c r="G247" s="3">
        <f>1.25*F247</f>
        <v>0</v>
      </c>
      <c r="H247" s="3">
        <f>0.008263333*F247</f>
        <v>0</v>
      </c>
      <c r="I247" s="3"/>
      <c r="J247" s="3" t="s">
        <v>299</v>
      </c>
    </row>
    <row r="248" spans="1:10" ht="46.9" customHeight="1">
      <c r="A248" s="7" t="s">
        <v>355</v>
      </c>
      <c r="B248" s="4">
        <v>3700156</v>
      </c>
      <c r="C248" s="3"/>
      <c r="D248" s="9" t="s">
        <v>530</v>
      </c>
      <c r="E248" s="4">
        <v>6</v>
      </c>
      <c r="F248" s="10">
        <v>1</v>
      </c>
      <c r="G248" s="3">
        <f>1.42*F248</f>
        <v>1.42</v>
      </c>
      <c r="H248" s="3">
        <f>0.008893125*F248</f>
        <v>8.893125E-3</v>
      </c>
      <c r="I248" s="3"/>
      <c r="J248" s="3" t="s">
        <v>299</v>
      </c>
    </row>
    <row r="249" spans="1:10" ht="46.9" hidden="1" customHeight="1">
      <c r="A249" s="7" t="s">
        <v>355</v>
      </c>
      <c r="B249" s="4">
        <v>3700158</v>
      </c>
      <c r="C249" s="3"/>
      <c r="D249" s="9" t="s">
        <v>531</v>
      </c>
      <c r="E249" s="4">
        <v>6</v>
      </c>
      <c r="F249" s="10"/>
      <c r="G249" s="3">
        <f>3.04*F249</f>
        <v>0</v>
      </c>
      <c r="H249" s="3">
        <f>0.0198375*F249</f>
        <v>0</v>
      </c>
      <c r="I249" s="3"/>
      <c r="J249" s="3" t="s">
        <v>299</v>
      </c>
    </row>
    <row r="250" spans="1:10" ht="46.9" hidden="1" customHeight="1">
      <c r="A250" s="7" t="s">
        <v>355</v>
      </c>
      <c r="B250" s="4">
        <v>3700160</v>
      </c>
      <c r="C250" s="3"/>
      <c r="D250" s="9" t="s">
        <v>532</v>
      </c>
      <c r="E250" s="4">
        <v>6</v>
      </c>
      <c r="F250" s="10"/>
      <c r="G250" s="3">
        <f>2.63*F250</f>
        <v>0</v>
      </c>
      <c r="H250" s="3">
        <f>0.017799167*F250</f>
        <v>0</v>
      </c>
      <c r="I250" s="3"/>
      <c r="J250" s="3" t="s">
        <v>299</v>
      </c>
    </row>
    <row r="251" spans="1:10" ht="46.9" hidden="1" customHeight="1">
      <c r="A251" s="7" t="s">
        <v>355</v>
      </c>
      <c r="B251" s="4">
        <v>3700161</v>
      </c>
      <c r="C251" s="3"/>
      <c r="D251" s="9" t="s">
        <v>533</v>
      </c>
      <c r="E251" s="4">
        <v>6</v>
      </c>
      <c r="F251" s="10"/>
      <c r="G251" s="3">
        <f>2.47*F251</f>
        <v>0</v>
      </c>
      <c r="H251" s="3">
        <f>0.012069333*F251</f>
        <v>0</v>
      </c>
      <c r="I251" s="3"/>
      <c r="J251" s="3" t="s">
        <v>299</v>
      </c>
    </row>
    <row r="252" spans="1:10" ht="46.9" hidden="1" customHeight="1">
      <c r="A252" s="7" t="s">
        <v>355</v>
      </c>
      <c r="B252" s="4">
        <v>3700162</v>
      </c>
      <c r="C252" s="3"/>
      <c r="D252" s="9" t="s">
        <v>534</v>
      </c>
      <c r="E252" s="4">
        <v>6</v>
      </c>
      <c r="F252" s="10"/>
      <c r="G252" s="3">
        <f>1.39*F252</f>
        <v>0</v>
      </c>
      <c r="H252" s="3">
        <f>0.0142025*F252</f>
        <v>0</v>
      </c>
      <c r="I252" s="3"/>
      <c r="J252" s="3" t="s">
        <v>299</v>
      </c>
    </row>
    <row r="253" spans="1:10" ht="46.9" customHeight="1">
      <c r="A253" s="7" t="s">
        <v>355</v>
      </c>
      <c r="B253" s="4">
        <v>3700164</v>
      </c>
      <c r="C253" s="3"/>
      <c r="D253" s="9" t="s">
        <v>535</v>
      </c>
      <c r="E253" s="4">
        <v>6</v>
      </c>
      <c r="F253" s="10">
        <v>1</v>
      </c>
      <c r="G253" s="3">
        <f>0.84*F253</f>
        <v>0.84</v>
      </c>
      <c r="H253" s="3">
        <f>0.0064285*F253</f>
        <v>6.4285000000000002E-3</v>
      </c>
      <c r="I253" s="3"/>
      <c r="J253" s="3" t="s">
        <v>299</v>
      </c>
    </row>
    <row r="254" spans="1:10" ht="46.9" hidden="1" customHeight="1">
      <c r="A254" s="7" t="s">
        <v>355</v>
      </c>
      <c r="B254" s="4">
        <v>3700165</v>
      </c>
      <c r="C254" s="3"/>
      <c r="D254" s="9" t="s">
        <v>536</v>
      </c>
      <c r="E254" s="4">
        <v>6</v>
      </c>
      <c r="F254" s="10"/>
      <c r="G254" s="3">
        <f>1.08*F254</f>
        <v>0</v>
      </c>
      <c r="H254" s="3">
        <f>0.00855*F254</f>
        <v>0</v>
      </c>
      <c r="I254" s="3"/>
      <c r="J254" s="3" t="s">
        <v>299</v>
      </c>
    </row>
    <row r="255" spans="1:10" ht="46.9" hidden="1" customHeight="1">
      <c r="A255" s="7" t="s">
        <v>355</v>
      </c>
      <c r="B255" s="4">
        <v>3700168</v>
      </c>
      <c r="C255" s="3"/>
      <c r="D255" s="9" t="s">
        <v>537</v>
      </c>
      <c r="E255" s="4">
        <v>6</v>
      </c>
      <c r="F255" s="10"/>
      <c r="G255" s="3">
        <f>1.96*F255</f>
        <v>0</v>
      </c>
      <c r="H255" s="3">
        <f>0.009127792*F255</f>
        <v>0</v>
      </c>
      <c r="I255" s="3"/>
      <c r="J255" s="3" t="s">
        <v>299</v>
      </c>
    </row>
    <row r="256" spans="1:10" ht="46.9" hidden="1" customHeight="1">
      <c r="A256" s="7" t="s">
        <v>355</v>
      </c>
      <c r="B256" s="4">
        <v>8500212</v>
      </c>
      <c r="C256" s="3"/>
      <c r="D256" s="9" t="s">
        <v>538</v>
      </c>
      <c r="E256" s="4">
        <v>6</v>
      </c>
      <c r="F256" s="10"/>
      <c r="G256" s="3">
        <f>1.37*F256</f>
        <v>0</v>
      </c>
      <c r="H256" s="3">
        <f>0.0084075*F256</f>
        <v>0</v>
      </c>
      <c r="I256" s="3"/>
      <c r="J256" s="3" t="s">
        <v>299</v>
      </c>
    </row>
    <row r="257" spans="1:10" ht="46.9" hidden="1" customHeight="1">
      <c r="A257" s="7" t="s">
        <v>355</v>
      </c>
      <c r="B257" s="4">
        <v>8500213</v>
      </c>
      <c r="C257" s="3"/>
      <c r="D257" s="9" t="s">
        <v>539</v>
      </c>
      <c r="E257" s="4">
        <v>6</v>
      </c>
      <c r="F257" s="10"/>
      <c r="G257" s="3">
        <f>2*F257</f>
        <v>0</v>
      </c>
      <c r="H257" s="3">
        <f>0.01274*F257</f>
        <v>0</v>
      </c>
      <c r="I257" s="3"/>
      <c r="J257" s="3" t="s">
        <v>299</v>
      </c>
    </row>
    <row r="258" spans="1:10" ht="46.9" hidden="1" customHeight="1">
      <c r="A258" s="7" t="s">
        <v>355</v>
      </c>
      <c r="B258" s="4">
        <v>8500214</v>
      </c>
      <c r="C258" s="3"/>
      <c r="D258" s="9" t="s">
        <v>540</v>
      </c>
      <c r="E258" s="4">
        <v>6</v>
      </c>
      <c r="F258" s="10"/>
      <c r="G258" s="3">
        <f>2.86*F258</f>
        <v>0</v>
      </c>
      <c r="H258" s="3">
        <f>0.0189525*F258</f>
        <v>0</v>
      </c>
      <c r="I258" s="3"/>
      <c r="J258" s="3" t="s">
        <v>299</v>
      </c>
    </row>
    <row r="259" spans="1:10" ht="46.9" hidden="1" customHeight="1">
      <c r="A259" s="7" t="s">
        <v>355</v>
      </c>
      <c r="B259" s="4">
        <v>8500215</v>
      </c>
      <c r="C259" s="3"/>
      <c r="D259" s="9" t="s">
        <v>541</v>
      </c>
      <c r="E259" s="4">
        <v>6</v>
      </c>
      <c r="F259" s="10"/>
      <c r="G259" s="3">
        <f>2.33*F259</f>
        <v>0</v>
      </c>
      <c r="H259" s="3">
        <f>0.011529*F259</f>
        <v>0</v>
      </c>
      <c r="I259" s="3"/>
      <c r="J259" s="3" t="s">
        <v>299</v>
      </c>
    </row>
    <row r="260" spans="1:10" ht="46.9" hidden="1" customHeight="1">
      <c r="A260" s="7" t="s">
        <v>355</v>
      </c>
      <c r="B260" s="4">
        <v>8500216</v>
      </c>
      <c r="C260" s="3"/>
      <c r="D260" s="9" t="s">
        <v>542</v>
      </c>
      <c r="E260" s="4">
        <v>6</v>
      </c>
      <c r="F260" s="10"/>
      <c r="G260" s="3">
        <f>0.67*F260</f>
        <v>0</v>
      </c>
      <c r="H260" s="3">
        <f>0.004546667*F260</f>
        <v>0</v>
      </c>
      <c r="I260" s="3"/>
      <c r="J260" s="3" t="s">
        <v>299</v>
      </c>
    </row>
    <row r="261" spans="1:10" ht="46.9" hidden="1" customHeight="1">
      <c r="A261" s="7" t="s">
        <v>355</v>
      </c>
      <c r="B261" s="4">
        <v>8500217</v>
      </c>
      <c r="C261" s="3"/>
      <c r="D261" s="9" t="s">
        <v>543</v>
      </c>
      <c r="E261" s="4">
        <v>6</v>
      </c>
      <c r="F261" s="10"/>
      <c r="G261" s="3">
        <f>0.92*F261</f>
        <v>0</v>
      </c>
      <c r="H261" s="3">
        <f>0.006149*F261</f>
        <v>0</v>
      </c>
      <c r="I261" s="3"/>
      <c r="J261" s="3" t="s">
        <v>299</v>
      </c>
    </row>
    <row r="262" spans="1:10" ht="46.9" hidden="1" customHeight="1">
      <c r="A262" s="7" t="s">
        <v>355</v>
      </c>
      <c r="B262" s="4">
        <v>8500218</v>
      </c>
      <c r="C262" s="3"/>
      <c r="D262" s="9" t="s">
        <v>544</v>
      </c>
      <c r="E262" s="4">
        <v>6</v>
      </c>
      <c r="F262" s="10"/>
      <c r="G262" s="3">
        <f>1.17*F262</f>
        <v>0</v>
      </c>
      <c r="H262" s="3">
        <f>0.008625*F262</f>
        <v>0</v>
      </c>
      <c r="I262" s="3"/>
      <c r="J262" s="3" t="s">
        <v>299</v>
      </c>
    </row>
    <row r="263" spans="1:10" ht="46.9" hidden="1" customHeight="1">
      <c r="A263" s="7" t="s">
        <v>355</v>
      </c>
      <c r="B263" s="4">
        <v>3800005</v>
      </c>
      <c r="C263" s="3"/>
      <c r="D263" s="9" t="s">
        <v>545</v>
      </c>
      <c r="E263" s="4">
        <v>6</v>
      </c>
      <c r="F263" s="10"/>
      <c r="G263" s="3">
        <f>1.31*F263</f>
        <v>0</v>
      </c>
      <c r="H263" s="3">
        <f>0.007499375*F263</f>
        <v>0</v>
      </c>
      <c r="I263" s="3"/>
      <c r="J263" s="3" t="s">
        <v>299</v>
      </c>
    </row>
    <row r="264" spans="1:10" ht="46.9" hidden="1" customHeight="1">
      <c r="A264" s="7" t="s">
        <v>355</v>
      </c>
      <c r="B264" s="4">
        <v>3800006</v>
      </c>
      <c r="C264" s="3"/>
      <c r="D264" s="9" t="s">
        <v>546</v>
      </c>
      <c r="E264" s="4">
        <v>6</v>
      </c>
      <c r="F264" s="10"/>
      <c r="G264" s="3">
        <f>1.77*F264</f>
        <v>0</v>
      </c>
      <c r="H264" s="3">
        <f>0.012474583*F264</f>
        <v>0</v>
      </c>
      <c r="I264" s="3"/>
      <c r="J264" s="3" t="s">
        <v>299</v>
      </c>
    </row>
    <row r="265" spans="1:10" ht="46.9" hidden="1" customHeight="1">
      <c r="A265" s="7" t="s">
        <v>355</v>
      </c>
      <c r="B265" s="4">
        <v>3800007</v>
      </c>
      <c r="C265" s="3"/>
      <c r="D265" s="9" t="s">
        <v>547</v>
      </c>
      <c r="E265" s="4">
        <v>4</v>
      </c>
      <c r="F265" s="10"/>
      <c r="G265" s="3">
        <f>2.35*F265</f>
        <v>0</v>
      </c>
      <c r="H265" s="3">
        <f>0.01862*F265</f>
        <v>0</v>
      </c>
      <c r="I265" s="3"/>
      <c r="J265" s="3" t="s">
        <v>299</v>
      </c>
    </row>
    <row r="266" spans="1:10" ht="46.9" hidden="1" customHeight="1">
      <c r="A266" s="7" t="s">
        <v>355</v>
      </c>
      <c r="B266" s="4">
        <v>3800008</v>
      </c>
      <c r="C266" s="3"/>
      <c r="D266" s="9" t="s">
        <v>548</v>
      </c>
      <c r="E266" s="4">
        <v>6</v>
      </c>
      <c r="F266" s="10"/>
      <c r="G266" s="3">
        <f>1.16*F266</f>
        <v>0</v>
      </c>
      <c r="H266" s="3">
        <f>0.00843125*F266</f>
        <v>0</v>
      </c>
      <c r="I266" s="3"/>
      <c r="J266" s="3" t="s">
        <v>299</v>
      </c>
    </row>
    <row r="267" spans="1:10" ht="46.9" hidden="1" customHeight="1">
      <c r="A267" s="7" t="s">
        <v>355</v>
      </c>
      <c r="B267" s="4">
        <v>3800015</v>
      </c>
      <c r="C267" s="3"/>
      <c r="D267" s="9" t="s">
        <v>549</v>
      </c>
      <c r="E267" s="4">
        <v>6</v>
      </c>
      <c r="F267" s="10"/>
      <c r="G267" s="3">
        <f>0.97*F267</f>
        <v>0</v>
      </c>
      <c r="H267" s="3">
        <f>0.00620425*F267</f>
        <v>0</v>
      </c>
      <c r="I267" s="3"/>
      <c r="J267" s="3" t="s">
        <v>299</v>
      </c>
    </row>
    <row r="268" spans="1:10" ht="46.9" hidden="1" customHeight="1">
      <c r="A268" s="7" t="s">
        <v>360</v>
      </c>
      <c r="B268" s="4">
        <v>3800016</v>
      </c>
      <c r="C268" s="3"/>
      <c r="D268" s="9" t="s">
        <v>550</v>
      </c>
      <c r="E268" s="4">
        <v>6</v>
      </c>
      <c r="F268" s="10"/>
      <c r="G268" s="3">
        <f>1.23*F268</f>
        <v>0</v>
      </c>
      <c r="H268" s="3">
        <f>0.00818125*F268</f>
        <v>0</v>
      </c>
      <c r="I268" s="3"/>
      <c r="J268" s="3" t="s">
        <v>299</v>
      </c>
    </row>
    <row r="269" spans="1:10" ht="46.9" hidden="1" customHeight="1">
      <c r="A269" s="7" t="s">
        <v>355</v>
      </c>
      <c r="B269" s="4">
        <v>3900055</v>
      </c>
      <c r="C269" s="3"/>
      <c r="D269" s="9" t="s">
        <v>551</v>
      </c>
      <c r="E269" s="4">
        <v>6</v>
      </c>
      <c r="F269" s="10"/>
      <c r="G269" s="3">
        <f>1.47*F269</f>
        <v>0</v>
      </c>
      <c r="H269" s="3">
        <f>0.008123625*F269</f>
        <v>0</v>
      </c>
      <c r="I269" s="3"/>
      <c r="J269" s="3" t="s">
        <v>299</v>
      </c>
    </row>
    <row r="270" spans="1:10" ht="46.9" hidden="1" customHeight="1">
      <c r="A270" s="7" t="s">
        <v>355</v>
      </c>
      <c r="B270" s="4">
        <v>3900056</v>
      </c>
      <c r="C270" s="3"/>
      <c r="D270" s="9" t="s">
        <v>552</v>
      </c>
      <c r="E270" s="4">
        <v>6</v>
      </c>
      <c r="F270" s="10"/>
      <c r="G270" s="3">
        <f>1.75*F270</f>
        <v>0</v>
      </c>
      <c r="H270" s="3">
        <f>0.010077583*F270</f>
        <v>0</v>
      </c>
      <c r="I270" s="3"/>
      <c r="J270" s="3" t="s">
        <v>299</v>
      </c>
    </row>
    <row r="271" spans="1:10" ht="46.9" hidden="1" customHeight="1">
      <c r="A271" s="7" t="s">
        <v>355</v>
      </c>
      <c r="B271" s="4">
        <v>2801208</v>
      </c>
      <c r="C271" s="3"/>
      <c r="D271" s="9" t="s">
        <v>553</v>
      </c>
      <c r="E271" s="4">
        <v>10</v>
      </c>
      <c r="F271" s="10"/>
      <c r="G271" s="3">
        <f>1.24*F271</f>
        <v>0</v>
      </c>
      <c r="H271" s="3">
        <f>0.00548895*F271</f>
        <v>0</v>
      </c>
      <c r="I271" s="3"/>
      <c r="J271" s="3" t="s">
        <v>299</v>
      </c>
    </row>
    <row r="272" spans="1:10" ht="46.9" hidden="1" customHeight="1">
      <c r="A272" s="7" t="s">
        <v>355</v>
      </c>
      <c r="B272" s="4">
        <v>2801307</v>
      </c>
      <c r="C272" s="3"/>
      <c r="D272" s="9" t="s">
        <v>554</v>
      </c>
      <c r="E272" s="4">
        <v>8</v>
      </c>
      <c r="F272" s="10"/>
      <c r="G272" s="3">
        <f>1.39*F272</f>
        <v>0</v>
      </c>
      <c r="H272" s="3">
        <f>0.005588*F272</f>
        <v>0</v>
      </c>
      <c r="I272" s="3"/>
      <c r="J272" s="3" t="s">
        <v>299</v>
      </c>
    </row>
    <row r="273" spans="1:10" ht="46.9" hidden="1" customHeight="1">
      <c r="A273" s="7" t="s">
        <v>355</v>
      </c>
      <c r="B273" s="4">
        <v>2801314</v>
      </c>
      <c r="C273" s="3"/>
      <c r="D273" s="9" t="s">
        <v>555</v>
      </c>
      <c r="E273" s="4">
        <v>10</v>
      </c>
      <c r="F273" s="10"/>
      <c r="G273" s="3">
        <f>0.82*F273</f>
        <v>0</v>
      </c>
      <c r="H273" s="3">
        <f>0.0032994*F273</f>
        <v>0</v>
      </c>
      <c r="I273" s="3"/>
      <c r="J273" s="3" t="s">
        <v>299</v>
      </c>
    </row>
    <row r="274" spans="1:10" ht="46.9" hidden="1" customHeight="1">
      <c r="A274" s="7" t="s">
        <v>360</v>
      </c>
      <c r="B274" s="4">
        <v>3700099</v>
      </c>
      <c r="C274" s="3"/>
      <c r="D274" s="9" t="s">
        <v>556</v>
      </c>
      <c r="E274" s="4">
        <v>6</v>
      </c>
      <c r="F274" s="10"/>
      <c r="G274" s="3">
        <f>1.25*F274</f>
        <v>0</v>
      </c>
      <c r="H274" s="3">
        <f>0.007722*F274</f>
        <v>0</v>
      </c>
      <c r="I274" s="3"/>
      <c r="J274" s="3" t="s">
        <v>299</v>
      </c>
    </row>
    <row r="275" spans="1:10" ht="46.9" hidden="1" customHeight="1">
      <c r="A275" s="7" t="s">
        <v>355</v>
      </c>
      <c r="B275" s="4">
        <v>3700103</v>
      </c>
      <c r="C275" s="3"/>
      <c r="D275" s="9" t="s">
        <v>557</v>
      </c>
      <c r="E275" s="4">
        <v>6</v>
      </c>
      <c r="F275" s="10"/>
      <c r="G275" s="3">
        <f>1.42*F275</f>
        <v>0</v>
      </c>
      <c r="H275" s="3">
        <f>0.00826*F275</f>
        <v>0</v>
      </c>
      <c r="I275" s="3"/>
      <c r="J275" s="3" t="s">
        <v>299</v>
      </c>
    </row>
    <row r="276" spans="1:10" ht="46.9" hidden="1" customHeight="1">
      <c r="A276" s="7" t="s">
        <v>360</v>
      </c>
      <c r="B276" s="4">
        <v>3700105</v>
      </c>
      <c r="C276" s="3"/>
      <c r="D276" s="9" t="s">
        <v>558</v>
      </c>
      <c r="E276" s="4">
        <v>6</v>
      </c>
      <c r="F276" s="10"/>
      <c r="G276" s="3">
        <f>2*F276</f>
        <v>0</v>
      </c>
      <c r="H276" s="3">
        <f>0.012544*F276</f>
        <v>0</v>
      </c>
      <c r="I276" s="3"/>
      <c r="J276" s="3" t="s">
        <v>299</v>
      </c>
    </row>
    <row r="277" spans="1:10" ht="46.9" hidden="1" customHeight="1">
      <c r="A277" s="7" t="s">
        <v>360</v>
      </c>
      <c r="B277" s="4">
        <v>3700106</v>
      </c>
      <c r="C277" s="3"/>
      <c r="D277" s="9" t="s">
        <v>559</v>
      </c>
      <c r="E277" s="4">
        <v>4</v>
      </c>
      <c r="F277" s="10"/>
      <c r="G277" s="3">
        <f>3*F277</f>
        <v>0</v>
      </c>
      <c r="H277" s="3">
        <f>0.0189525*F277</f>
        <v>0</v>
      </c>
      <c r="I277" s="3"/>
      <c r="J277" s="3" t="s">
        <v>299</v>
      </c>
    </row>
    <row r="278" spans="1:10" ht="46.9" hidden="1" customHeight="1">
      <c r="A278" s="7" t="s">
        <v>355</v>
      </c>
      <c r="B278" s="4">
        <v>3700107</v>
      </c>
      <c r="C278" s="3"/>
      <c r="D278" s="9" t="s">
        <v>560</v>
      </c>
      <c r="E278" s="4">
        <v>6</v>
      </c>
      <c r="F278" s="10"/>
      <c r="G278" s="3">
        <f>2.58*F278</f>
        <v>0</v>
      </c>
      <c r="H278" s="3">
        <f>0.016592*F278</f>
        <v>0</v>
      </c>
      <c r="I278" s="3"/>
      <c r="J278" s="3" t="s">
        <v>299</v>
      </c>
    </row>
    <row r="279" spans="1:10" ht="46.9" hidden="1" customHeight="1">
      <c r="A279" s="7" t="s">
        <v>355</v>
      </c>
      <c r="B279" s="4">
        <v>3700108</v>
      </c>
      <c r="C279" s="3"/>
      <c r="D279" s="9" t="s">
        <v>561</v>
      </c>
      <c r="E279" s="4">
        <v>6</v>
      </c>
      <c r="F279" s="10"/>
      <c r="G279" s="3">
        <f>2.5*F279</f>
        <v>0</v>
      </c>
      <c r="H279" s="3">
        <f>0.011346*F279</f>
        <v>0</v>
      </c>
      <c r="I279" s="3"/>
      <c r="J279" s="3" t="s">
        <v>299</v>
      </c>
    </row>
    <row r="280" spans="1:10" ht="46.9" hidden="1" customHeight="1">
      <c r="A280" s="7" t="s">
        <v>360</v>
      </c>
      <c r="B280" s="4">
        <v>3700109</v>
      </c>
      <c r="C280" s="3"/>
      <c r="D280" s="9" t="s">
        <v>562</v>
      </c>
      <c r="E280" s="4">
        <v>6</v>
      </c>
      <c r="F280" s="10"/>
      <c r="G280" s="3">
        <f>1.5*F280</f>
        <v>0</v>
      </c>
      <c r="H280" s="3">
        <f>0.012462*F280</f>
        <v>0</v>
      </c>
      <c r="I280" s="3"/>
      <c r="J280" s="3" t="s">
        <v>299</v>
      </c>
    </row>
    <row r="281" spans="1:10" ht="46.9" hidden="1" customHeight="1">
      <c r="A281" s="7" t="s">
        <v>355</v>
      </c>
      <c r="B281" s="4">
        <v>3700110</v>
      </c>
      <c r="C281" s="3"/>
      <c r="D281" s="9" t="s">
        <v>563</v>
      </c>
      <c r="E281" s="4">
        <v>6</v>
      </c>
      <c r="F281" s="10"/>
      <c r="G281" s="3">
        <f>0.75*F281</f>
        <v>0</v>
      </c>
      <c r="H281" s="3">
        <f>0.004546667*F281</f>
        <v>0</v>
      </c>
      <c r="I281" s="3"/>
      <c r="J281" s="3" t="s">
        <v>299</v>
      </c>
    </row>
    <row r="282" spans="1:10" ht="46.9" hidden="1" customHeight="1">
      <c r="A282" s="7" t="s">
        <v>355</v>
      </c>
      <c r="B282" s="4">
        <v>3700124</v>
      </c>
      <c r="C282" s="3"/>
      <c r="D282" s="9" t="s">
        <v>564</v>
      </c>
      <c r="E282" s="4">
        <v>6</v>
      </c>
      <c r="F282" s="10"/>
      <c r="G282" s="3">
        <f>0.92*F282</f>
        <v>0</v>
      </c>
      <c r="H282" s="3">
        <f>0.006171*F282</f>
        <v>0</v>
      </c>
      <c r="I282" s="3"/>
      <c r="J282" s="3" t="s">
        <v>299</v>
      </c>
    </row>
    <row r="283" spans="1:10" ht="46.9" hidden="1" customHeight="1">
      <c r="A283" s="7" t="s">
        <v>355</v>
      </c>
      <c r="B283" s="4">
        <v>3700125</v>
      </c>
      <c r="C283" s="3"/>
      <c r="D283" s="9" t="s">
        <v>565</v>
      </c>
      <c r="E283" s="4">
        <v>6</v>
      </c>
      <c r="F283" s="10"/>
      <c r="G283" s="3">
        <f>1.17*F283</f>
        <v>0</v>
      </c>
      <c r="H283" s="3">
        <f>0.00851*F283</f>
        <v>0</v>
      </c>
      <c r="I283" s="3"/>
      <c r="J283" s="3" t="s">
        <v>299</v>
      </c>
    </row>
    <row r="284" spans="1:10" ht="46.9" hidden="1" customHeight="1">
      <c r="A284" s="7" t="s">
        <v>360</v>
      </c>
      <c r="B284" s="4">
        <v>3700126</v>
      </c>
      <c r="C284" s="3"/>
      <c r="D284" s="9" t="s">
        <v>566</v>
      </c>
      <c r="E284" s="4">
        <v>6</v>
      </c>
      <c r="F284" s="10"/>
      <c r="G284" s="3">
        <f>0.83*F284</f>
        <v>0</v>
      </c>
      <c r="H284" s="3">
        <f>0.005202*F284</f>
        <v>0</v>
      </c>
      <c r="I284" s="3"/>
      <c r="J284" s="3" t="s">
        <v>299</v>
      </c>
    </row>
    <row r="285" spans="1:10" ht="46.9" hidden="1" customHeight="1">
      <c r="A285" s="7" t="s">
        <v>355</v>
      </c>
      <c r="B285" s="4">
        <v>3700127</v>
      </c>
      <c r="C285" s="3"/>
      <c r="D285" s="9" t="s">
        <v>567</v>
      </c>
      <c r="E285" s="4">
        <v>1</v>
      </c>
      <c r="F285" s="10"/>
      <c r="G285" s="3">
        <f>1.83*F285</f>
        <v>0</v>
      </c>
      <c r="H285" s="3">
        <f>0.002986667*F285</f>
        <v>0</v>
      </c>
      <c r="I285" s="3"/>
      <c r="J285" s="3" t="s">
        <v>299</v>
      </c>
    </row>
    <row r="286" spans="1:10" ht="46.9" hidden="1" customHeight="1">
      <c r="A286" s="7" t="s">
        <v>355</v>
      </c>
      <c r="B286" s="4">
        <v>3700169</v>
      </c>
      <c r="C286" s="3"/>
      <c r="D286" s="9" t="s">
        <v>568</v>
      </c>
      <c r="E286" s="4">
        <v>6</v>
      </c>
      <c r="F286" s="10"/>
      <c r="G286" s="3">
        <f>1.25*F286</f>
        <v>0</v>
      </c>
      <c r="H286" s="3">
        <f>0.007722*F286</f>
        <v>0</v>
      </c>
      <c r="I286" s="3"/>
      <c r="J286" s="3" t="s">
        <v>299</v>
      </c>
    </row>
    <row r="287" spans="1:10" ht="46.9" customHeight="1">
      <c r="A287" s="7" t="s">
        <v>355</v>
      </c>
      <c r="B287" s="4">
        <v>3700170</v>
      </c>
      <c r="C287" s="3"/>
      <c r="D287" s="9" t="s">
        <v>569</v>
      </c>
      <c r="E287" s="4">
        <v>6</v>
      </c>
      <c r="F287" s="10">
        <v>1</v>
      </c>
      <c r="G287" s="3">
        <f>1.42*F287</f>
        <v>1.42</v>
      </c>
      <c r="H287" s="3">
        <f>0.00826*F287</f>
        <v>8.26E-3</v>
      </c>
      <c r="I287" s="3"/>
      <c r="J287" s="3" t="s">
        <v>299</v>
      </c>
    </row>
    <row r="288" spans="1:10" ht="46.9" customHeight="1">
      <c r="A288" s="7" t="s">
        <v>355</v>
      </c>
      <c r="B288" s="4">
        <v>3700171</v>
      </c>
      <c r="C288" s="3"/>
      <c r="D288" s="9" t="s">
        <v>570</v>
      </c>
      <c r="E288" s="4">
        <v>6</v>
      </c>
      <c r="F288" s="10">
        <v>1</v>
      </c>
      <c r="G288" s="3">
        <f>2*F288</f>
        <v>2</v>
      </c>
      <c r="H288" s="3">
        <f>0.012544*F288</f>
        <v>1.2544E-2</v>
      </c>
      <c r="I288" s="3"/>
      <c r="J288" s="3" t="s">
        <v>299</v>
      </c>
    </row>
    <row r="289" spans="1:10" ht="46.9" hidden="1" customHeight="1">
      <c r="A289" s="7" t="s">
        <v>355</v>
      </c>
      <c r="B289" s="4">
        <v>3700172</v>
      </c>
      <c r="C289" s="3"/>
      <c r="D289" s="9" t="s">
        <v>571</v>
      </c>
      <c r="E289" s="4">
        <v>4</v>
      </c>
      <c r="F289" s="10"/>
      <c r="G289" s="3">
        <f>3*F289</f>
        <v>0</v>
      </c>
      <c r="H289" s="3">
        <f>0.0189525*F289</f>
        <v>0</v>
      </c>
      <c r="I289" s="3"/>
      <c r="J289" s="3" t="s">
        <v>299</v>
      </c>
    </row>
    <row r="290" spans="1:10" ht="46.9" hidden="1" customHeight="1">
      <c r="A290" s="7" t="s">
        <v>355</v>
      </c>
      <c r="B290" s="4">
        <v>3700174</v>
      </c>
      <c r="C290" s="3"/>
      <c r="D290" s="9" t="s">
        <v>572</v>
      </c>
      <c r="E290" s="4">
        <v>1</v>
      </c>
      <c r="F290" s="10"/>
      <c r="G290" s="3">
        <f>2.58*F290</f>
        <v>0</v>
      </c>
      <c r="H290" s="3">
        <f>0.016592*F290</f>
        <v>0</v>
      </c>
      <c r="I290" s="3"/>
      <c r="J290" s="3" t="s">
        <v>299</v>
      </c>
    </row>
    <row r="291" spans="1:10" ht="46.9" hidden="1" customHeight="1">
      <c r="A291" s="7" t="s">
        <v>355</v>
      </c>
      <c r="B291" s="4">
        <v>3700175</v>
      </c>
      <c r="C291" s="3"/>
      <c r="D291" s="9" t="s">
        <v>573</v>
      </c>
      <c r="E291" s="4">
        <v>1</v>
      </c>
      <c r="F291" s="10"/>
      <c r="G291" s="3">
        <f>2.5*F291</f>
        <v>0</v>
      </c>
      <c r="H291" s="3">
        <f>0.011346*F291</f>
        <v>0</v>
      </c>
      <c r="I291" s="3"/>
      <c r="J291" s="3" t="s">
        <v>299</v>
      </c>
    </row>
    <row r="292" spans="1:10" ht="46.9" hidden="1" customHeight="1">
      <c r="A292" s="7" t="s">
        <v>355</v>
      </c>
      <c r="B292" s="4">
        <v>3700176</v>
      </c>
      <c r="C292" s="3"/>
      <c r="D292" s="9" t="s">
        <v>574</v>
      </c>
      <c r="E292" s="4">
        <v>6</v>
      </c>
      <c r="F292" s="10"/>
      <c r="G292" s="3">
        <f>1.5*F292</f>
        <v>0</v>
      </c>
      <c r="H292" s="3">
        <f>0.012462*F292</f>
        <v>0</v>
      </c>
      <c r="I292" s="3"/>
      <c r="J292" s="3" t="s">
        <v>299</v>
      </c>
    </row>
    <row r="293" spans="1:10" ht="46.9" hidden="1" customHeight="1">
      <c r="A293" s="7" t="s">
        <v>355</v>
      </c>
      <c r="B293" s="4">
        <v>3700177</v>
      </c>
      <c r="C293" s="3"/>
      <c r="D293" s="9" t="s">
        <v>575</v>
      </c>
      <c r="E293" s="4">
        <v>6</v>
      </c>
      <c r="F293" s="10"/>
      <c r="G293" s="3">
        <f>0.75*F293</f>
        <v>0</v>
      </c>
      <c r="H293" s="3">
        <f>0.004546667*F293</f>
        <v>0</v>
      </c>
      <c r="I293" s="3"/>
      <c r="J293" s="3" t="s">
        <v>299</v>
      </c>
    </row>
    <row r="294" spans="1:10" ht="46.9" hidden="1" customHeight="1">
      <c r="A294" s="7" t="s">
        <v>355</v>
      </c>
      <c r="B294" s="4">
        <v>3700178</v>
      </c>
      <c r="C294" s="3"/>
      <c r="D294" s="9" t="s">
        <v>576</v>
      </c>
      <c r="E294" s="4">
        <v>6</v>
      </c>
      <c r="F294" s="10"/>
      <c r="G294" s="3">
        <f>0.92*F294</f>
        <v>0</v>
      </c>
      <c r="H294" s="3">
        <f>0.006171*F294</f>
        <v>0</v>
      </c>
      <c r="I294" s="3"/>
      <c r="J294" s="3" t="s">
        <v>299</v>
      </c>
    </row>
    <row r="295" spans="1:10" ht="46.9" hidden="1" customHeight="1">
      <c r="A295" s="7" t="s">
        <v>355</v>
      </c>
      <c r="B295" s="4">
        <v>3700179</v>
      </c>
      <c r="C295" s="3"/>
      <c r="D295" s="9" t="s">
        <v>577</v>
      </c>
      <c r="E295" s="4">
        <v>6</v>
      </c>
      <c r="F295" s="10"/>
      <c r="G295" s="3">
        <f>1.17*F295</f>
        <v>0</v>
      </c>
      <c r="H295" s="3">
        <f>0.00851*F295</f>
        <v>0</v>
      </c>
      <c r="I295" s="3"/>
      <c r="J295" s="3" t="s">
        <v>299</v>
      </c>
    </row>
    <row r="296" spans="1:10" ht="46.9" customHeight="1">
      <c r="A296" s="7" t="s">
        <v>360</v>
      </c>
      <c r="B296" s="4">
        <v>3700181</v>
      </c>
      <c r="C296" s="3"/>
      <c r="D296" s="9" t="s">
        <v>578</v>
      </c>
      <c r="E296" s="4">
        <v>6</v>
      </c>
      <c r="F296" s="10">
        <v>1</v>
      </c>
      <c r="G296" s="3">
        <f>0.83*F296</f>
        <v>0.83</v>
      </c>
      <c r="H296" s="3">
        <f>0.005202*F296</f>
        <v>5.202E-3</v>
      </c>
      <c r="I296" s="3"/>
      <c r="J296" s="3" t="s">
        <v>299</v>
      </c>
    </row>
    <row r="297" spans="1:10" ht="46.9" hidden="1" customHeight="1">
      <c r="A297" s="7" t="s">
        <v>355</v>
      </c>
      <c r="B297" s="4">
        <v>3700182</v>
      </c>
      <c r="C297" s="3"/>
      <c r="D297" s="9" t="s">
        <v>579</v>
      </c>
      <c r="E297" s="4">
        <v>1</v>
      </c>
      <c r="F297" s="10"/>
      <c r="G297" s="3">
        <f>1.83*F297</f>
        <v>0</v>
      </c>
      <c r="H297" s="3">
        <f>0.008586667*F297</f>
        <v>0</v>
      </c>
      <c r="I297" s="3"/>
      <c r="J297" s="3" t="s">
        <v>299</v>
      </c>
    </row>
    <row r="298" spans="1:10" ht="18.75" hidden="1">
      <c r="A298" s="6"/>
      <c r="B298" s="19" t="s">
        <v>580</v>
      </c>
      <c r="C298" s="20"/>
      <c r="D298" s="20"/>
      <c r="E298" s="20"/>
      <c r="F298" s="20"/>
      <c r="G298" s="20"/>
      <c r="H298" s="20"/>
      <c r="I298" s="20"/>
      <c r="J298" s="21"/>
    </row>
    <row r="299" spans="1:10" ht="46.9" hidden="1" customHeight="1">
      <c r="A299" s="7" t="s">
        <v>360</v>
      </c>
      <c r="B299" s="4">
        <v>1307008</v>
      </c>
      <c r="C299" s="3"/>
      <c r="D299" s="9" t="s">
        <v>581</v>
      </c>
      <c r="E299" s="4">
        <v>8</v>
      </c>
      <c r="F299" s="10"/>
      <c r="G299" s="3">
        <f>1.64*F299</f>
        <v>0</v>
      </c>
      <c r="H299" s="3">
        <f>0.00728175*F299</f>
        <v>0</v>
      </c>
      <c r="I299" s="3"/>
      <c r="J299" s="3" t="s">
        <v>299</v>
      </c>
    </row>
    <row r="300" spans="1:10" ht="46.9" hidden="1" customHeight="1">
      <c r="A300" s="7" t="s">
        <v>360</v>
      </c>
      <c r="B300" s="4">
        <v>1307077</v>
      </c>
      <c r="C300" s="3"/>
      <c r="D300" s="9" t="s">
        <v>582</v>
      </c>
      <c r="E300" s="4">
        <v>8</v>
      </c>
      <c r="F300" s="10"/>
      <c r="G300" s="3">
        <f>2.45*F300</f>
        <v>0</v>
      </c>
      <c r="H300" s="3">
        <f>0.009310125*F300</f>
        <v>0</v>
      </c>
      <c r="I300" s="3"/>
      <c r="J300" s="3" t="s">
        <v>299</v>
      </c>
    </row>
    <row r="301" spans="1:10" ht="46.9" hidden="1" customHeight="1">
      <c r="A301" s="7" t="s">
        <v>360</v>
      </c>
      <c r="B301" s="4">
        <v>1308037</v>
      </c>
      <c r="C301" s="3"/>
      <c r="D301" s="9" t="s">
        <v>583</v>
      </c>
      <c r="E301" s="4">
        <v>4</v>
      </c>
      <c r="F301" s="10"/>
      <c r="G301" s="3">
        <f>3.38*F301</f>
        <v>0</v>
      </c>
      <c r="H301" s="3">
        <f>0.010692*F301</f>
        <v>0</v>
      </c>
      <c r="I301" s="3"/>
      <c r="J301" s="3" t="s">
        <v>299</v>
      </c>
    </row>
    <row r="302" spans="1:10" ht="46.9" hidden="1" customHeight="1">
      <c r="A302" s="7" t="s">
        <v>360</v>
      </c>
      <c r="B302" s="4">
        <v>1306210</v>
      </c>
      <c r="C302" s="3"/>
      <c r="D302" s="9" t="s">
        <v>584</v>
      </c>
      <c r="E302" s="4">
        <v>6</v>
      </c>
      <c r="F302" s="10"/>
      <c r="G302" s="3">
        <f>2.31*F302</f>
        <v>0</v>
      </c>
      <c r="H302" s="3">
        <f>0.008613333*F302</f>
        <v>0</v>
      </c>
      <c r="I302" s="3"/>
      <c r="J302" s="3" t="s">
        <v>299</v>
      </c>
    </row>
    <row r="303" spans="1:10" ht="46.9" hidden="1" customHeight="1">
      <c r="A303" s="7" t="s">
        <v>355</v>
      </c>
      <c r="B303" s="4">
        <v>1307143</v>
      </c>
      <c r="C303" s="3"/>
      <c r="D303" s="9" t="s">
        <v>585</v>
      </c>
      <c r="E303" s="4">
        <v>6</v>
      </c>
      <c r="F303" s="10"/>
      <c r="G303" s="3">
        <f>2.28*F303</f>
        <v>0</v>
      </c>
      <c r="H303" s="3">
        <f>0.009633*F303</f>
        <v>0</v>
      </c>
      <c r="I303" s="3"/>
      <c r="J303" s="3" t="s">
        <v>299</v>
      </c>
    </row>
    <row r="304" spans="1:10" ht="46.9" hidden="1" customHeight="1">
      <c r="A304" s="7" t="s">
        <v>360</v>
      </c>
      <c r="B304" s="4">
        <v>1308010</v>
      </c>
      <c r="C304" s="3"/>
      <c r="D304" s="9" t="s">
        <v>586</v>
      </c>
      <c r="E304" s="4">
        <v>4</v>
      </c>
      <c r="F304" s="10"/>
      <c r="G304" s="3">
        <f>3.06*F304</f>
        <v>0</v>
      </c>
      <c r="H304" s="3">
        <f>0.0121875*F304</f>
        <v>0</v>
      </c>
      <c r="I304" s="3"/>
      <c r="J304" s="3" t="s">
        <v>299</v>
      </c>
    </row>
    <row r="305" spans="1:10" ht="46.9" hidden="1" customHeight="1">
      <c r="A305" s="7" t="s">
        <v>355</v>
      </c>
      <c r="B305" s="4">
        <v>1304002</v>
      </c>
      <c r="C305" s="3"/>
      <c r="D305" s="9" t="s">
        <v>587</v>
      </c>
      <c r="E305" s="4">
        <v>12</v>
      </c>
      <c r="F305" s="10"/>
      <c r="G305" s="3">
        <f>1.13*F305</f>
        <v>0</v>
      </c>
      <c r="H305" s="3">
        <f>0.00448875*F305</f>
        <v>0</v>
      </c>
      <c r="I305" s="3"/>
      <c r="J305" s="3" t="s">
        <v>299</v>
      </c>
    </row>
    <row r="306" spans="1:10" ht="46.9" hidden="1" customHeight="1">
      <c r="A306" s="7" t="s">
        <v>360</v>
      </c>
      <c r="B306" s="4">
        <v>1307170</v>
      </c>
      <c r="C306" s="3"/>
      <c r="D306" s="9" t="s">
        <v>588</v>
      </c>
      <c r="E306" s="4">
        <v>4</v>
      </c>
      <c r="F306" s="10"/>
      <c r="G306" s="3">
        <f>2.44*F306</f>
        <v>0</v>
      </c>
      <c r="H306" s="3">
        <f>0.00743125*F306</f>
        <v>0</v>
      </c>
      <c r="I306" s="3"/>
      <c r="J306" s="3" t="s">
        <v>299</v>
      </c>
    </row>
    <row r="307" spans="1:10" ht="46.9" hidden="1" customHeight="1">
      <c r="A307" s="7" t="s">
        <v>360</v>
      </c>
      <c r="B307" s="4">
        <v>1309010</v>
      </c>
      <c r="C307" s="3"/>
      <c r="D307" s="9" t="s">
        <v>589</v>
      </c>
      <c r="E307" s="4">
        <v>4</v>
      </c>
      <c r="F307" s="10"/>
      <c r="G307" s="3">
        <f>3.44*F307</f>
        <v>0</v>
      </c>
      <c r="H307" s="3">
        <f>0.00802575*F307</f>
        <v>0</v>
      </c>
      <c r="I307" s="3"/>
      <c r="J307" s="3" t="s">
        <v>299</v>
      </c>
    </row>
    <row r="308" spans="1:10" ht="46.9" hidden="1" customHeight="1">
      <c r="A308" s="7" t="s">
        <v>360</v>
      </c>
      <c r="B308" s="4">
        <v>1307140</v>
      </c>
      <c r="C308" s="3"/>
      <c r="D308" s="9" t="s">
        <v>590</v>
      </c>
      <c r="E308" s="4">
        <v>4</v>
      </c>
      <c r="F308" s="10"/>
      <c r="G308" s="3">
        <f>2.75*F308</f>
        <v>0</v>
      </c>
      <c r="H308" s="3">
        <f>0.010212*F308</f>
        <v>0</v>
      </c>
      <c r="I308" s="3"/>
      <c r="J308" s="3" t="s">
        <v>299</v>
      </c>
    </row>
    <row r="309" spans="1:10" ht="46.9" hidden="1" customHeight="1">
      <c r="A309" s="7" t="s">
        <v>355</v>
      </c>
      <c r="B309" s="4">
        <v>1304003</v>
      </c>
      <c r="C309" s="3"/>
      <c r="D309" s="9" t="s">
        <v>591</v>
      </c>
      <c r="E309" s="4">
        <v>5</v>
      </c>
      <c r="F309" s="10"/>
      <c r="G309" s="3">
        <f>0.84*F309</f>
        <v>0</v>
      </c>
      <c r="H309" s="3">
        <f>0.003108*F309</f>
        <v>0</v>
      </c>
      <c r="I309" s="3"/>
      <c r="J309" s="3" t="s">
        <v>299</v>
      </c>
    </row>
    <row r="310" spans="1:10" ht="46.9" hidden="1" customHeight="1">
      <c r="A310" s="7" t="s">
        <v>360</v>
      </c>
      <c r="B310" s="4">
        <v>1307144</v>
      </c>
      <c r="C310" s="3"/>
      <c r="D310" s="9" t="s">
        <v>592</v>
      </c>
      <c r="E310" s="4">
        <v>4</v>
      </c>
      <c r="F310" s="10"/>
      <c r="G310" s="3">
        <f>3.5*F310</f>
        <v>0</v>
      </c>
      <c r="H310" s="3">
        <f>0.01332*F310</f>
        <v>0</v>
      </c>
      <c r="I310" s="3"/>
      <c r="J310" s="3" t="s">
        <v>299</v>
      </c>
    </row>
    <row r="311" spans="1:10" ht="46.9" hidden="1" customHeight="1">
      <c r="A311" s="7" t="s">
        <v>360</v>
      </c>
      <c r="B311" s="4">
        <v>1307146</v>
      </c>
      <c r="C311" s="3"/>
      <c r="D311" s="9" t="s">
        <v>593</v>
      </c>
      <c r="E311" s="4">
        <v>4</v>
      </c>
      <c r="F311" s="10"/>
      <c r="G311" s="3">
        <f>5.45*F311</f>
        <v>0</v>
      </c>
      <c r="H311" s="3">
        <f>0.017094*F311</f>
        <v>0</v>
      </c>
      <c r="I311" s="3"/>
      <c r="J311" s="3" t="s">
        <v>299</v>
      </c>
    </row>
    <row r="312" spans="1:10" ht="46.9" hidden="1" customHeight="1">
      <c r="A312" s="7" t="s">
        <v>355</v>
      </c>
      <c r="B312" s="4">
        <v>3700258</v>
      </c>
      <c r="C312" s="3"/>
      <c r="D312" s="9" t="s">
        <v>594</v>
      </c>
      <c r="E312" s="4">
        <v>6</v>
      </c>
      <c r="F312" s="10"/>
      <c r="G312" s="3">
        <f>1.86*F312</f>
        <v>0</v>
      </c>
      <c r="H312" s="3">
        <f>0.006673333*F312</f>
        <v>0</v>
      </c>
      <c r="I312" s="3"/>
      <c r="J312" s="3" t="s">
        <v>299</v>
      </c>
    </row>
    <row r="313" spans="1:10" ht="46.9" hidden="1" customHeight="1">
      <c r="A313" s="7" t="s">
        <v>355</v>
      </c>
      <c r="B313" s="4">
        <v>1108478</v>
      </c>
      <c r="C313" s="3"/>
      <c r="D313" s="9" t="s">
        <v>595</v>
      </c>
      <c r="E313" s="4">
        <v>40</v>
      </c>
      <c r="F313" s="10"/>
      <c r="G313" s="3">
        <f>0.39*F313</f>
        <v>0</v>
      </c>
      <c r="H313" s="3">
        <f>0.001632925*F313</f>
        <v>0</v>
      </c>
      <c r="I313" s="3"/>
      <c r="J313" s="3" t="s">
        <v>299</v>
      </c>
    </row>
    <row r="314" spans="1:10" ht="46.9" hidden="1" customHeight="1">
      <c r="A314" s="7" t="s">
        <v>360</v>
      </c>
      <c r="B314" s="4">
        <v>1307154</v>
      </c>
      <c r="C314" s="3"/>
      <c r="D314" s="9" t="s">
        <v>596</v>
      </c>
      <c r="E314" s="4">
        <v>6</v>
      </c>
      <c r="F314" s="10"/>
      <c r="G314" s="3">
        <f>0.53*F314</f>
        <v>0</v>
      </c>
      <c r="H314" s="3">
        <f>0.001443*F314</f>
        <v>0</v>
      </c>
      <c r="I314" s="3"/>
      <c r="J314" s="3" t="s">
        <v>299</v>
      </c>
    </row>
    <row r="315" spans="1:10" ht="46.9" hidden="1" customHeight="1">
      <c r="A315" s="7" t="s">
        <v>360</v>
      </c>
      <c r="B315" s="4">
        <v>1307155</v>
      </c>
      <c r="C315" s="3"/>
      <c r="D315" s="9" t="s">
        <v>597</v>
      </c>
      <c r="E315" s="4">
        <v>6</v>
      </c>
      <c r="F315" s="10"/>
      <c r="G315" s="3">
        <f>0.3*F315</f>
        <v>0</v>
      </c>
      <c r="H315" s="3">
        <f>0.00103675*F315</f>
        <v>0</v>
      </c>
      <c r="I315" s="3"/>
      <c r="J315" s="3" t="s">
        <v>299</v>
      </c>
    </row>
    <row r="316" spans="1:10" ht="46.9" hidden="1" customHeight="1">
      <c r="A316" s="7" t="s">
        <v>355</v>
      </c>
      <c r="B316" s="4">
        <v>1307156</v>
      </c>
      <c r="C316" s="3"/>
      <c r="D316" s="9" t="s">
        <v>598</v>
      </c>
      <c r="E316" s="4">
        <v>6</v>
      </c>
      <c r="F316" s="10"/>
      <c r="G316" s="3">
        <f>0.31*F316</f>
        <v>0</v>
      </c>
      <c r="H316" s="3">
        <f>0.00103675*F316</f>
        <v>0</v>
      </c>
      <c r="I316" s="3"/>
      <c r="J316" s="3" t="s">
        <v>299</v>
      </c>
    </row>
    <row r="317" spans="1:10" ht="46.9" hidden="1" customHeight="1">
      <c r="A317" s="7" t="s">
        <v>360</v>
      </c>
      <c r="B317" s="4">
        <v>1307157</v>
      </c>
      <c r="C317" s="3"/>
      <c r="D317" s="9" t="s">
        <v>599</v>
      </c>
      <c r="E317" s="4">
        <v>6</v>
      </c>
      <c r="F317" s="10"/>
      <c r="G317" s="3">
        <f>0.14*F317</f>
        <v>0</v>
      </c>
      <c r="H317" s="3">
        <f>0.000455625*F317</f>
        <v>0</v>
      </c>
      <c r="I317" s="3"/>
      <c r="J317" s="3" t="s">
        <v>299</v>
      </c>
    </row>
    <row r="318" spans="1:10" ht="46.9" hidden="1" customHeight="1">
      <c r="A318" s="7" t="s">
        <v>360</v>
      </c>
      <c r="B318" s="4">
        <v>1307158</v>
      </c>
      <c r="C318" s="3"/>
      <c r="D318" s="9" t="s">
        <v>600</v>
      </c>
      <c r="E318" s="4">
        <v>6</v>
      </c>
      <c r="F318" s="10"/>
      <c r="G318" s="3">
        <f>0.15*F318</f>
        <v>0</v>
      </c>
      <c r="H318" s="3">
        <f>0.0004875*F318</f>
        <v>0</v>
      </c>
      <c r="I318" s="3"/>
      <c r="J318" s="3" t="s">
        <v>299</v>
      </c>
    </row>
    <row r="319" spans="1:10" ht="46.9" hidden="1" customHeight="1">
      <c r="A319" s="7" t="s">
        <v>360</v>
      </c>
      <c r="B319" s="4">
        <v>1307159</v>
      </c>
      <c r="C319" s="3"/>
      <c r="D319" s="9" t="s">
        <v>601</v>
      </c>
      <c r="E319" s="4">
        <v>6</v>
      </c>
      <c r="F319" s="10"/>
      <c r="G319" s="3">
        <f>0.37*F319</f>
        <v>0</v>
      </c>
      <c r="H319" s="3">
        <f>0.00103675*F319</f>
        <v>0</v>
      </c>
      <c r="I319" s="3"/>
      <c r="J319" s="3" t="s">
        <v>299</v>
      </c>
    </row>
    <row r="320" spans="1:10" ht="46.9" hidden="1" customHeight="1">
      <c r="A320" s="7" t="s">
        <v>360</v>
      </c>
      <c r="B320" s="4">
        <v>1307160</v>
      </c>
      <c r="C320" s="3"/>
      <c r="D320" s="9" t="s">
        <v>602</v>
      </c>
      <c r="E320" s="4">
        <v>6</v>
      </c>
      <c r="F320" s="10"/>
      <c r="G320" s="3">
        <f>0.34*F320</f>
        <v>0</v>
      </c>
      <c r="H320" s="3">
        <f>0.00103675*F320</f>
        <v>0</v>
      </c>
      <c r="I320" s="3"/>
      <c r="J320" s="3" t="s">
        <v>299</v>
      </c>
    </row>
    <row r="321" spans="1:10" ht="46.9" hidden="1" customHeight="1">
      <c r="A321" s="7" t="s">
        <v>355</v>
      </c>
      <c r="B321" s="4">
        <v>1307161</v>
      </c>
      <c r="C321" s="3"/>
      <c r="D321" s="9" t="s">
        <v>603</v>
      </c>
      <c r="E321" s="4">
        <v>6</v>
      </c>
      <c r="F321" s="10"/>
      <c r="G321" s="3">
        <f>0.34*F321</f>
        <v>0</v>
      </c>
      <c r="H321" s="3">
        <f>0.000711708*F321</f>
        <v>0</v>
      </c>
      <c r="I321" s="3"/>
      <c r="J321" s="3" t="s">
        <v>299</v>
      </c>
    </row>
    <row r="322" spans="1:10" ht="46.9" hidden="1" customHeight="1">
      <c r="A322" s="7" t="s">
        <v>360</v>
      </c>
      <c r="B322" s="4">
        <v>3700419</v>
      </c>
      <c r="C322" s="3"/>
      <c r="D322" s="9" t="s">
        <v>604</v>
      </c>
      <c r="E322" s="4">
        <v>20</v>
      </c>
      <c r="F322" s="10"/>
      <c r="G322" s="3">
        <f>0.64*F322</f>
        <v>0</v>
      </c>
      <c r="H322" s="3">
        <f>0.002079*F322</f>
        <v>0</v>
      </c>
      <c r="I322" s="3"/>
      <c r="J322" s="3" t="s">
        <v>299</v>
      </c>
    </row>
    <row r="323" spans="1:10" ht="46.9" hidden="1" customHeight="1">
      <c r="A323" s="7" t="s">
        <v>355</v>
      </c>
      <c r="B323" s="4">
        <v>3700007</v>
      </c>
      <c r="C323" s="3"/>
      <c r="D323" s="9" t="s">
        <v>605</v>
      </c>
      <c r="E323" s="4">
        <v>20</v>
      </c>
      <c r="F323" s="10"/>
      <c r="G323" s="3">
        <f>0.21*F323</f>
        <v>0</v>
      </c>
      <c r="H323" s="3">
        <f>0.001004792*F323</f>
        <v>0</v>
      </c>
      <c r="I323" s="3"/>
      <c r="J323" s="3" t="s">
        <v>299</v>
      </c>
    </row>
    <row r="324" spans="1:10" ht="46.9" hidden="1" customHeight="1">
      <c r="A324" s="7" t="s">
        <v>355</v>
      </c>
      <c r="B324" s="4">
        <v>3700009</v>
      </c>
      <c r="C324" s="3"/>
      <c r="D324" s="9" t="s">
        <v>606</v>
      </c>
      <c r="E324" s="4">
        <v>20</v>
      </c>
      <c r="F324" s="10"/>
      <c r="G324" s="3">
        <f>0.12*F324</f>
        <v>0</v>
      </c>
      <c r="H324" s="3">
        <f>0.0005589*F324</f>
        <v>0</v>
      </c>
      <c r="I324" s="3"/>
      <c r="J324" s="3" t="s">
        <v>299</v>
      </c>
    </row>
    <row r="325" spans="1:10" ht="46.9" hidden="1" customHeight="1">
      <c r="A325" s="7" t="s">
        <v>355</v>
      </c>
      <c r="B325" s="4">
        <v>3700010</v>
      </c>
      <c r="C325" s="3"/>
      <c r="D325" s="9" t="s">
        <v>607</v>
      </c>
      <c r="E325" s="4">
        <v>20</v>
      </c>
      <c r="F325" s="10"/>
      <c r="G325" s="3">
        <f>0.11*F325</f>
        <v>0</v>
      </c>
      <c r="H325" s="3">
        <f>0.0005589*F325</f>
        <v>0</v>
      </c>
      <c r="I325" s="3"/>
      <c r="J325" s="3" t="s">
        <v>299</v>
      </c>
    </row>
    <row r="326" spans="1:10" ht="46.9" hidden="1" customHeight="1">
      <c r="A326" s="7" t="s">
        <v>355</v>
      </c>
      <c r="B326" s="4">
        <v>3700011</v>
      </c>
      <c r="C326" s="3"/>
      <c r="D326" s="9" t="s">
        <v>608</v>
      </c>
      <c r="E326" s="4">
        <v>20</v>
      </c>
      <c r="F326" s="10"/>
      <c r="G326" s="3">
        <f>0.11*F326</f>
        <v>0</v>
      </c>
      <c r="H326" s="3">
        <f>0.0005589*F326</f>
        <v>0</v>
      </c>
      <c r="I326" s="3"/>
      <c r="J326" s="3" t="s">
        <v>299</v>
      </c>
    </row>
    <row r="327" spans="1:10" ht="46.9" hidden="1" customHeight="1">
      <c r="A327" s="7" t="s">
        <v>355</v>
      </c>
      <c r="B327" s="4">
        <v>3700100</v>
      </c>
      <c r="C327" s="3"/>
      <c r="D327" s="9" t="s">
        <v>609</v>
      </c>
      <c r="E327" s="4">
        <v>20</v>
      </c>
      <c r="F327" s="10"/>
      <c r="G327" s="3">
        <f>0.22*F327</f>
        <v>0</v>
      </c>
      <c r="H327" s="3">
        <f>0.001014271*F327</f>
        <v>0</v>
      </c>
      <c r="I327" s="3"/>
      <c r="J327" s="3" t="s">
        <v>299</v>
      </c>
    </row>
    <row r="328" spans="1:10" ht="46.9" hidden="1" customHeight="1">
      <c r="A328" s="7" t="s">
        <v>360</v>
      </c>
      <c r="B328" s="4">
        <v>3700101</v>
      </c>
      <c r="C328" s="3"/>
      <c r="D328" s="9" t="s">
        <v>610</v>
      </c>
      <c r="E328" s="4">
        <v>6</v>
      </c>
      <c r="F328" s="10"/>
      <c r="G328" s="3">
        <f>0.25*F328</f>
        <v>0</v>
      </c>
      <c r="H328" s="3">
        <f>0.001643417*F328</f>
        <v>0</v>
      </c>
      <c r="I328" s="3"/>
      <c r="J328" s="3" t="s">
        <v>299</v>
      </c>
    </row>
    <row r="329" spans="1:10" ht="46.9" hidden="1" customHeight="1">
      <c r="A329" s="7" t="s">
        <v>360</v>
      </c>
      <c r="B329" s="4">
        <v>3700102</v>
      </c>
      <c r="C329" s="3"/>
      <c r="D329" s="9" t="s">
        <v>611</v>
      </c>
      <c r="E329" s="4">
        <v>20</v>
      </c>
      <c r="F329" s="10"/>
      <c r="G329" s="3">
        <f>0.13*F329</f>
        <v>0</v>
      </c>
      <c r="H329" s="3">
        <f>0.000937621*F329</f>
        <v>0</v>
      </c>
      <c r="I329" s="3"/>
      <c r="J329" s="3" t="s">
        <v>299</v>
      </c>
    </row>
    <row r="330" spans="1:10" ht="46.9" hidden="1" customHeight="1">
      <c r="A330" s="7" t="s">
        <v>355</v>
      </c>
      <c r="B330" s="4">
        <v>1105246</v>
      </c>
      <c r="C330" s="3"/>
      <c r="D330" s="9" t="s">
        <v>612</v>
      </c>
      <c r="E330" s="4">
        <v>96</v>
      </c>
      <c r="F330" s="10"/>
      <c r="G330" s="3">
        <f>0.17*F330</f>
        <v>0</v>
      </c>
      <c r="H330" s="3">
        <f>0.000920563*F330</f>
        <v>0</v>
      </c>
      <c r="I330" s="3"/>
      <c r="J330" s="3" t="s">
        <v>299</v>
      </c>
    </row>
    <row r="331" spans="1:10" ht="46.9" hidden="1" customHeight="1">
      <c r="A331" s="7" t="s">
        <v>360</v>
      </c>
      <c r="B331" s="4">
        <v>1105345</v>
      </c>
      <c r="C331" s="3"/>
      <c r="D331" s="9" t="s">
        <v>613</v>
      </c>
      <c r="E331" s="4">
        <v>12</v>
      </c>
      <c r="F331" s="10"/>
      <c r="G331" s="3">
        <f>0.11*F331</f>
        <v>0</v>
      </c>
      <c r="H331" s="3">
        <f>0.000414*F331</f>
        <v>0</v>
      </c>
      <c r="I331" s="3"/>
      <c r="J331" s="3" t="s">
        <v>299</v>
      </c>
    </row>
    <row r="332" spans="1:10" ht="46.9" customHeight="1">
      <c r="A332" s="7" t="s">
        <v>355</v>
      </c>
      <c r="B332" s="4">
        <v>1301525</v>
      </c>
      <c r="C332" s="3"/>
      <c r="D332" s="9" t="s">
        <v>614</v>
      </c>
      <c r="E332" s="4">
        <v>24</v>
      </c>
      <c r="F332" s="10">
        <v>1</v>
      </c>
      <c r="G332" s="3">
        <f>0.37*F332</f>
        <v>0.37</v>
      </c>
      <c r="H332" s="3">
        <f>0.00124775*F332</f>
        <v>1.2477499999999999E-3</v>
      </c>
      <c r="I332" s="3"/>
      <c r="J332" s="3" t="s">
        <v>299</v>
      </c>
    </row>
    <row r="333" spans="1:10" ht="46.9" hidden="1" customHeight="1">
      <c r="A333" s="7" t="s">
        <v>360</v>
      </c>
      <c r="B333" s="4">
        <v>1301686</v>
      </c>
      <c r="C333" s="3"/>
      <c r="D333" s="9" t="s">
        <v>615</v>
      </c>
      <c r="E333" s="4">
        <v>4</v>
      </c>
      <c r="F333" s="10"/>
      <c r="G333" s="3">
        <f>0.3*F333</f>
        <v>0</v>
      </c>
      <c r="H333" s="3">
        <f>0.0012495*F333</f>
        <v>0</v>
      </c>
      <c r="I333" s="3"/>
      <c r="J333" s="3" t="s">
        <v>299</v>
      </c>
    </row>
    <row r="334" spans="1:10" ht="46.9" hidden="1" customHeight="1">
      <c r="A334" s="7" t="s">
        <v>355</v>
      </c>
      <c r="B334" s="4">
        <v>1301709</v>
      </c>
      <c r="C334" s="3"/>
      <c r="D334" s="9" t="s">
        <v>616</v>
      </c>
      <c r="E334" s="4">
        <v>4</v>
      </c>
      <c r="F334" s="10"/>
      <c r="G334" s="3">
        <f>0.38*F334</f>
        <v>0</v>
      </c>
      <c r="H334" s="3">
        <f>0.001269245*F334</f>
        <v>0</v>
      </c>
      <c r="I334" s="3"/>
      <c r="J334" s="3" t="s">
        <v>299</v>
      </c>
    </row>
    <row r="335" spans="1:10" ht="46.9" hidden="1" customHeight="1">
      <c r="A335" s="7" t="s">
        <v>355</v>
      </c>
      <c r="B335" s="4">
        <v>1301723</v>
      </c>
      <c r="C335" s="3"/>
      <c r="D335" s="9" t="s">
        <v>617</v>
      </c>
      <c r="E335" s="4">
        <v>4</v>
      </c>
      <c r="F335" s="10"/>
      <c r="G335" s="3">
        <f>0.34*F335</f>
        <v>0</v>
      </c>
      <c r="H335" s="3">
        <f>0.001200938*F335</f>
        <v>0</v>
      </c>
      <c r="I335" s="3"/>
      <c r="J335" s="3" t="s">
        <v>299</v>
      </c>
    </row>
    <row r="336" spans="1:10" ht="46.9" hidden="1" customHeight="1">
      <c r="A336" s="7" t="s">
        <v>360</v>
      </c>
      <c r="B336" s="4">
        <v>1302103</v>
      </c>
      <c r="C336" s="3"/>
      <c r="D336" s="9" t="s">
        <v>618</v>
      </c>
      <c r="E336" s="4">
        <v>24</v>
      </c>
      <c r="F336" s="10"/>
      <c r="G336" s="3">
        <f>0.53*F336</f>
        <v>0</v>
      </c>
      <c r="H336" s="3">
        <f>0.002864531*F336</f>
        <v>0</v>
      </c>
      <c r="I336" s="3"/>
      <c r="J336" s="3" t="s">
        <v>299</v>
      </c>
    </row>
    <row r="337" spans="1:10" ht="46.9" hidden="1" customHeight="1">
      <c r="A337" s="7" t="s">
        <v>355</v>
      </c>
      <c r="B337" s="4">
        <v>1302104</v>
      </c>
      <c r="C337" s="3"/>
      <c r="D337" s="9" t="s">
        <v>619</v>
      </c>
      <c r="E337" s="4">
        <v>24</v>
      </c>
      <c r="F337" s="10"/>
      <c r="G337" s="3">
        <f>0.58*F337</f>
        <v>0</v>
      </c>
      <c r="H337" s="3">
        <f>0.002883094*F337</f>
        <v>0</v>
      </c>
      <c r="I337" s="3"/>
      <c r="J337" s="3" t="s">
        <v>299</v>
      </c>
    </row>
    <row r="338" spans="1:10" ht="46.9" hidden="1" customHeight="1">
      <c r="A338" s="7" t="s">
        <v>360</v>
      </c>
      <c r="B338" s="4">
        <v>1302105</v>
      </c>
      <c r="C338" s="3"/>
      <c r="D338" s="9" t="s">
        <v>620</v>
      </c>
      <c r="E338" s="4">
        <v>24</v>
      </c>
      <c r="F338" s="10"/>
      <c r="G338" s="3">
        <f>0.54*F338</f>
        <v>0</v>
      </c>
      <c r="H338" s="3">
        <f>0.003307078*F338</f>
        <v>0</v>
      </c>
      <c r="I338" s="3"/>
      <c r="J338" s="3" t="s">
        <v>299</v>
      </c>
    </row>
    <row r="339" spans="1:10" ht="46.9" hidden="1" customHeight="1">
      <c r="A339" s="7" t="s">
        <v>355</v>
      </c>
      <c r="B339" s="4">
        <v>1302106</v>
      </c>
      <c r="C339" s="3"/>
      <c r="D339" s="9" t="s">
        <v>621</v>
      </c>
      <c r="E339" s="4">
        <v>24</v>
      </c>
      <c r="F339" s="10"/>
      <c r="G339" s="3">
        <f>0.47*F339</f>
        <v>0</v>
      </c>
      <c r="H339" s="3">
        <f>0.002883094*F339</f>
        <v>0</v>
      </c>
      <c r="I339" s="3"/>
      <c r="J339" s="3" t="s">
        <v>299</v>
      </c>
    </row>
    <row r="340" spans="1:10" ht="46.9" hidden="1" customHeight="1">
      <c r="A340" s="7" t="s">
        <v>360</v>
      </c>
      <c r="B340" s="4">
        <v>1302107</v>
      </c>
      <c r="C340" s="3"/>
      <c r="D340" s="9" t="s">
        <v>622</v>
      </c>
      <c r="E340" s="4">
        <v>24</v>
      </c>
      <c r="F340" s="10"/>
      <c r="G340" s="3">
        <f>0.52*F340</f>
        <v>0</v>
      </c>
      <c r="H340" s="3">
        <f>0.002549167*F340</f>
        <v>0</v>
      </c>
      <c r="I340" s="3"/>
      <c r="J340" s="3" t="s">
        <v>299</v>
      </c>
    </row>
    <row r="341" spans="1:10" ht="46.9" hidden="1" customHeight="1">
      <c r="A341" s="7" t="s">
        <v>360</v>
      </c>
      <c r="B341" s="4">
        <v>1302109</v>
      </c>
      <c r="C341" s="3"/>
      <c r="D341" s="9" t="s">
        <v>623</v>
      </c>
      <c r="E341" s="4">
        <v>12</v>
      </c>
      <c r="F341" s="10"/>
      <c r="G341" s="3">
        <f>0.96*F341</f>
        <v>0</v>
      </c>
      <c r="H341" s="3">
        <f>0.0024955*F341</f>
        <v>0</v>
      </c>
      <c r="I341" s="3"/>
      <c r="J341" s="3" t="s">
        <v>299</v>
      </c>
    </row>
    <row r="342" spans="1:10" ht="46.9" hidden="1" customHeight="1">
      <c r="A342" s="7" t="s">
        <v>360</v>
      </c>
      <c r="B342" s="4">
        <v>1301047</v>
      </c>
      <c r="C342" s="3"/>
      <c r="D342" s="9" t="s">
        <v>624</v>
      </c>
      <c r="E342" s="4">
        <v>12</v>
      </c>
      <c r="F342" s="10"/>
      <c r="G342" s="3">
        <f>0.19*F342</f>
        <v>0</v>
      </c>
      <c r="H342" s="3">
        <f>0.000942083*F342</f>
        <v>0</v>
      </c>
      <c r="I342" s="3"/>
      <c r="J342" s="3" t="s">
        <v>299</v>
      </c>
    </row>
    <row r="343" spans="1:10" ht="46.9" hidden="1" customHeight="1">
      <c r="A343" s="7" t="s">
        <v>360</v>
      </c>
      <c r="B343" s="4">
        <v>1307141</v>
      </c>
      <c r="C343" s="3"/>
      <c r="D343" s="9" t="s">
        <v>625</v>
      </c>
      <c r="E343" s="4">
        <v>12</v>
      </c>
      <c r="F343" s="10"/>
      <c r="G343" s="3">
        <f>0.15*F343</f>
        <v>0</v>
      </c>
      <c r="H343" s="3">
        <f>0.000674667*F343</f>
        <v>0</v>
      </c>
      <c r="I343" s="3"/>
      <c r="J343" s="3" t="s">
        <v>299</v>
      </c>
    </row>
    <row r="344" spans="1:10" ht="46.9" hidden="1" customHeight="1">
      <c r="A344" s="7" t="s">
        <v>360</v>
      </c>
      <c r="B344" s="4">
        <v>1307142</v>
      </c>
      <c r="C344" s="3"/>
      <c r="D344" s="9" t="s">
        <v>626</v>
      </c>
      <c r="E344" s="4">
        <v>12</v>
      </c>
      <c r="F344" s="10"/>
      <c r="G344" s="3">
        <f>0.32*F344</f>
        <v>0</v>
      </c>
      <c r="H344" s="3">
        <f>0.00116375*F344</f>
        <v>0</v>
      </c>
      <c r="I344" s="3"/>
      <c r="J344" s="3" t="s">
        <v>299</v>
      </c>
    </row>
    <row r="345" spans="1:10" ht="46.9" hidden="1" customHeight="1">
      <c r="A345" s="7" t="s">
        <v>360</v>
      </c>
      <c r="B345" s="4">
        <v>1301100</v>
      </c>
      <c r="C345" s="3"/>
      <c r="D345" s="9" t="s">
        <v>627</v>
      </c>
      <c r="E345" s="4">
        <v>12</v>
      </c>
      <c r="F345" s="10"/>
      <c r="G345" s="3">
        <f>0.23*F345</f>
        <v>0</v>
      </c>
      <c r="H345" s="3">
        <f>0.000935278*F345</f>
        <v>0</v>
      </c>
      <c r="I345" s="3"/>
      <c r="J345" s="3" t="s">
        <v>299</v>
      </c>
    </row>
    <row r="346" spans="1:10" ht="46.9" hidden="1" customHeight="1">
      <c r="A346" s="7" t="s">
        <v>360</v>
      </c>
      <c r="B346" s="4">
        <v>1399692</v>
      </c>
      <c r="C346" s="3"/>
      <c r="D346" s="9" t="s">
        <v>628</v>
      </c>
      <c r="E346" s="4">
        <v>48</v>
      </c>
      <c r="F346" s="10"/>
      <c r="G346" s="3">
        <f>0.35*F346</f>
        <v>0</v>
      </c>
      <c r="H346" s="3">
        <f>0.001575*F346</f>
        <v>0</v>
      </c>
      <c r="I346" s="3"/>
      <c r="J346" s="3" t="s">
        <v>299</v>
      </c>
    </row>
    <row r="347" spans="1:10" ht="46.9" hidden="1" customHeight="1">
      <c r="A347" s="7" t="s">
        <v>355</v>
      </c>
      <c r="B347" s="4">
        <v>1399510</v>
      </c>
      <c r="C347" s="3"/>
      <c r="D347" s="9" t="s">
        <v>629</v>
      </c>
      <c r="E347" s="4">
        <v>72</v>
      </c>
      <c r="F347" s="10"/>
      <c r="G347" s="3">
        <f>0.15*F347</f>
        <v>0</v>
      </c>
      <c r="H347" s="3">
        <f>0.000674667*F347</f>
        <v>0</v>
      </c>
      <c r="I347" s="3"/>
      <c r="J347" s="3" t="s">
        <v>299</v>
      </c>
    </row>
    <row r="348" spans="1:10" ht="46.9" hidden="1" customHeight="1">
      <c r="A348" s="7" t="s">
        <v>360</v>
      </c>
      <c r="B348" s="4">
        <v>1399522</v>
      </c>
      <c r="C348" s="3"/>
      <c r="D348" s="9" t="s">
        <v>630</v>
      </c>
      <c r="E348" s="4">
        <v>12</v>
      </c>
      <c r="F348" s="10"/>
      <c r="G348" s="3">
        <f>0.44*F348</f>
        <v>0</v>
      </c>
      <c r="H348" s="3">
        <f>0.001613333*F348</f>
        <v>0</v>
      </c>
      <c r="I348" s="3"/>
      <c r="J348" s="3" t="s">
        <v>299</v>
      </c>
    </row>
    <row r="349" spans="1:10" ht="46.9" hidden="1" customHeight="1">
      <c r="A349" s="7" t="s">
        <v>360</v>
      </c>
      <c r="B349" s="4">
        <v>1399539</v>
      </c>
      <c r="C349" s="3"/>
      <c r="D349" s="9" t="s">
        <v>631</v>
      </c>
      <c r="E349" s="4">
        <v>12</v>
      </c>
      <c r="F349" s="10"/>
      <c r="G349" s="3">
        <f>0.45*F349</f>
        <v>0</v>
      </c>
      <c r="H349" s="3">
        <f>0.00165*F349</f>
        <v>0</v>
      </c>
      <c r="I349" s="3"/>
      <c r="J349" s="3" t="s">
        <v>299</v>
      </c>
    </row>
    <row r="350" spans="1:10" ht="46.9" hidden="1" customHeight="1">
      <c r="A350" s="7" t="s">
        <v>360</v>
      </c>
      <c r="B350" s="4">
        <v>1399553</v>
      </c>
      <c r="C350" s="3"/>
      <c r="D350" s="9" t="s">
        <v>632</v>
      </c>
      <c r="E350" s="4">
        <v>12</v>
      </c>
      <c r="F350" s="10"/>
      <c r="G350" s="3">
        <f>0.3*F350</f>
        <v>0</v>
      </c>
      <c r="H350" s="3">
        <f>0.00113563*F350</f>
        <v>0</v>
      </c>
      <c r="I350" s="3"/>
      <c r="J350" s="3" t="s">
        <v>299</v>
      </c>
    </row>
    <row r="351" spans="1:10" ht="46.9" hidden="1" customHeight="1">
      <c r="A351" s="7" t="s">
        <v>360</v>
      </c>
      <c r="B351" s="4">
        <v>1399607</v>
      </c>
      <c r="C351" s="3"/>
      <c r="D351" s="9" t="s">
        <v>633</v>
      </c>
      <c r="E351" s="4">
        <v>12</v>
      </c>
      <c r="F351" s="10"/>
      <c r="G351" s="3">
        <f>0.27*F351</f>
        <v>0</v>
      </c>
      <c r="H351" s="3">
        <f>0.00116762*F351</f>
        <v>0</v>
      </c>
      <c r="I351" s="3"/>
      <c r="J351" s="3" t="s">
        <v>299</v>
      </c>
    </row>
    <row r="352" spans="1:10" ht="46.9" hidden="1" customHeight="1">
      <c r="A352" s="7" t="s">
        <v>355</v>
      </c>
      <c r="B352" s="4">
        <v>1301097</v>
      </c>
      <c r="C352" s="3"/>
      <c r="D352" s="9" t="s">
        <v>634</v>
      </c>
      <c r="E352" s="4">
        <v>12</v>
      </c>
      <c r="F352" s="10"/>
      <c r="G352" s="3">
        <f>0.15*F352</f>
        <v>0</v>
      </c>
      <c r="H352" s="3">
        <f>0.000674667*F352</f>
        <v>0</v>
      </c>
      <c r="I352" s="3"/>
      <c r="J352" s="3" t="s">
        <v>299</v>
      </c>
    </row>
    <row r="353" spans="1:10" ht="46.9" hidden="1" customHeight="1">
      <c r="A353" s="7" t="s">
        <v>360</v>
      </c>
      <c r="B353" s="4">
        <v>1399784</v>
      </c>
      <c r="C353" s="3"/>
      <c r="D353" s="9" t="s">
        <v>635</v>
      </c>
      <c r="E353" s="4">
        <v>48</v>
      </c>
      <c r="F353" s="10"/>
      <c r="G353" s="3">
        <f>0.21*F353</f>
        <v>0</v>
      </c>
      <c r="H353" s="3">
        <f>0.000944271*F353</f>
        <v>0</v>
      </c>
      <c r="I353" s="3"/>
      <c r="J353" s="3" t="s">
        <v>299</v>
      </c>
    </row>
    <row r="354" spans="1:10" ht="46.9" hidden="1" customHeight="1">
      <c r="A354" s="7" t="s">
        <v>360</v>
      </c>
      <c r="B354" s="4">
        <v>1399645</v>
      </c>
      <c r="C354" s="3"/>
      <c r="D354" s="9" t="s">
        <v>636</v>
      </c>
      <c r="E354" s="4">
        <v>12</v>
      </c>
      <c r="F354" s="10"/>
      <c r="G354" s="3">
        <f>0.34*F354</f>
        <v>0</v>
      </c>
      <c r="H354" s="3">
        <f>0.001166323*F354</f>
        <v>0</v>
      </c>
      <c r="I354" s="3"/>
      <c r="J354" s="3" t="s">
        <v>299</v>
      </c>
    </row>
    <row r="355" spans="1:10" ht="46.9" hidden="1" customHeight="1">
      <c r="A355" s="7" t="s">
        <v>355</v>
      </c>
      <c r="B355" s="4">
        <v>1399487</v>
      </c>
      <c r="C355" s="3"/>
      <c r="D355" s="9" t="s">
        <v>628</v>
      </c>
      <c r="E355" s="4">
        <v>48</v>
      </c>
      <c r="F355" s="10"/>
      <c r="G355" s="3">
        <f>0.38*F355</f>
        <v>0</v>
      </c>
      <c r="H355" s="3">
        <f>0.001575*F355</f>
        <v>0</v>
      </c>
      <c r="I355" s="3"/>
      <c r="J355" s="3" t="s">
        <v>299</v>
      </c>
    </row>
    <row r="356" spans="1:10" ht="46.9" hidden="1" customHeight="1">
      <c r="A356" s="7" t="s">
        <v>360</v>
      </c>
      <c r="B356" s="4">
        <v>1399713</v>
      </c>
      <c r="C356" s="3"/>
      <c r="D356" s="9" t="s">
        <v>637</v>
      </c>
      <c r="E356" s="4">
        <v>12</v>
      </c>
      <c r="F356" s="10"/>
      <c r="G356" s="3">
        <f>0.15*F356</f>
        <v>0</v>
      </c>
      <c r="H356" s="3">
        <f>0.000639375*F356</f>
        <v>0</v>
      </c>
      <c r="I356" s="3"/>
      <c r="J356" s="3" t="s">
        <v>299</v>
      </c>
    </row>
    <row r="357" spans="1:10" ht="46.9" hidden="1" customHeight="1">
      <c r="A357" s="7" t="s">
        <v>360</v>
      </c>
      <c r="B357" s="4">
        <v>1399744</v>
      </c>
      <c r="C357" s="3"/>
      <c r="D357" s="9" t="s">
        <v>638</v>
      </c>
      <c r="E357" s="4">
        <v>12</v>
      </c>
      <c r="F357" s="10"/>
      <c r="G357" s="3">
        <f>0.16*F357</f>
        <v>0</v>
      </c>
      <c r="H357" s="3">
        <f>0.00066*F357</f>
        <v>0</v>
      </c>
      <c r="I357" s="3"/>
      <c r="J357" s="3" t="s">
        <v>299</v>
      </c>
    </row>
    <row r="358" spans="1:10" ht="46.9" hidden="1" customHeight="1">
      <c r="A358" s="7" t="s">
        <v>360</v>
      </c>
      <c r="B358" s="4">
        <v>1399751</v>
      </c>
      <c r="C358" s="3"/>
      <c r="D358" s="9" t="s">
        <v>639</v>
      </c>
      <c r="E358" s="4">
        <v>12</v>
      </c>
      <c r="F358" s="10"/>
      <c r="G358" s="3">
        <f>0.32*F358</f>
        <v>0</v>
      </c>
      <c r="H358" s="3">
        <f>0.001133781*F358</f>
        <v>0</v>
      </c>
      <c r="I358" s="3"/>
      <c r="J358" s="3" t="s">
        <v>299</v>
      </c>
    </row>
    <row r="359" spans="1:10" ht="46.9" hidden="1" customHeight="1">
      <c r="A359" s="7" t="s">
        <v>360</v>
      </c>
      <c r="B359" s="4">
        <v>1399812</v>
      </c>
      <c r="C359" s="3"/>
      <c r="D359" s="9" t="s">
        <v>640</v>
      </c>
      <c r="E359" s="4">
        <v>12</v>
      </c>
      <c r="F359" s="10"/>
      <c r="G359" s="3">
        <f>0.24*F359</f>
        <v>0</v>
      </c>
      <c r="H359" s="3">
        <f>0.000942083*F359</f>
        <v>0</v>
      </c>
      <c r="I359" s="3"/>
      <c r="J359" s="3" t="s">
        <v>299</v>
      </c>
    </row>
    <row r="360" spans="1:10" ht="46.9" hidden="1" customHeight="1">
      <c r="A360" s="7" t="s">
        <v>360</v>
      </c>
      <c r="B360" s="4">
        <v>1399843</v>
      </c>
      <c r="C360" s="3"/>
      <c r="D360" s="9" t="s">
        <v>641</v>
      </c>
      <c r="E360" s="4">
        <v>12</v>
      </c>
      <c r="F360" s="10"/>
      <c r="G360" s="3">
        <f>0.23*F360</f>
        <v>0</v>
      </c>
      <c r="H360" s="3">
        <f>0.000917292*F360</f>
        <v>0</v>
      </c>
      <c r="I360" s="3"/>
      <c r="J360" s="3" t="s">
        <v>299</v>
      </c>
    </row>
    <row r="361" spans="1:10" ht="46.9" hidden="1" customHeight="1">
      <c r="A361" s="7" t="s">
        <v>355</v>
      </c>
      <c r="B361" s="4">
        <v>3500698</v>
      </c>
      <c r="C361" s="3"/>
      <c r="D361" s="9" t="s">
        <v>642</v>
      </c>
      <c r="E361" s="4">
        <v>24</v>
      </c>
      <c r="F361" s="10"/>
      <c r="G361" s="3">
        <f>0.36*F361</f>
        <v>0</v>
      </c>
      <c r="H361" s="3">
        <f>0.00100436*F361</f>
        <v>0</v>
      </c>
      <c r="I361" s="3"/>
      <c r="J361" s="3" t="s">
        <v>299</v>
      </c>
    </row>
    <row r="362" spans="1:10" ht="46.9" hidden="1" customHeight="1">
      <c r="A362" s="7" t="s">
        <v>355</v>
      </c>
      <c r="B362" s="4">
        <v>3500704</v>
      </c>
      <c r="C362" s="3"/>
      <c r="D362" s="9" t="s">
        <v>643</v>
      </c>
      <c r="E362" s="4">
        <v>24</v>
      </c>
      <c r="F362" s="10"/>
      <c r="G362" s="3">
        <f>0.36*F362</f>
        <v>0</v>
      </c>
      <c r="H362" s="3">
        <f>0.000993438*F362</f>
        <v>0</v>
      </c>
      <c r="I362" s="3"/>
      <c r="J362" s="3" t="s">
        <v>299</v>
      </c>
    </row>
    <row r="363" spans="1:10" ht="46.9" hidden="1" customHeight="1">
      <c r="A363" s="7" t="s">
        <v>355</v>
      </c>
      <c r="B363" s="4">
        <v>3500711</v>
      </c>
      <c r="C363" s="3"/>
      <c r="D363" s="9" t="s">
        <v>644</v>
      </c>
      <c r="E363" s="4">
        <v>24</v>
      </c>
      <c r="F363" s="10"/>
      <c r="G363" s="3">
        <f>0.32*F363</f>
        <v>0</v>
      </c>
      <c r="H363" s="3">
        <f>0.001004063*F363</f>
        <v>0</v>
      </c>
      <c r="I363" s="3"/>
      <c r="J363" s="3" t="s">
        <v>299</v>
      </c>
    </row>
    <row r="364" spans="1:10" ht="46.9" hidden="1" customHeight="1">
      <c r="A364" s="7" t="s">
        <v>355</v>
      </c>
      <c r="B364" s="4">
        <v>3500735</v>
      </c>
      <c r="C364" s="3"/>
      <c r="D364" s="9" t="s">
        <v>645</v>
      </c>
      <c r="E364" s="4">
        <v>24</v>
      </c>
      <c r="F364" s="10"/>
      <c r="G364" s="3">
        <f>0.16*F364</f>
        <v>0</v>
      </c>
      <c r="H364" s="3">
        <f>0.000515737*F364</f>
        <v>0</v>
      </c>
      <c r="I364" s="3"/>
      <c r="J364" s="3" t="s">
        <v>299</v>
      </c>
    </row>
    <row r="365" spans="1:10" ht="46.9" hidden="1" customHeight="1">
      <c r="A365" s="7" t="s">
        <v>355</v>
      </c>
      <c r="B365" s="4">
        <v>3502449</v>
      </c>
      <c r="C365" s="3"/>
      <c r="D365" s="9" t="s">
        <v>646</v>
      </c>
      <c r="E365" s="4">
        <v>24</v>
      </c>
      <c r="F365" s="10"/>
      <c r="G365" s="3">
        <f>0.17*F365</f>
        <v>0</v>
      </c>
      <c r="H365" s="3">
        <f>0.000510176*F365</f>
        <v>0</v>
      </c>
      <c r="I365" s="3"/>
      <c r="J365" s="3" t="s">
        <v>299</v>
      </c>
    </row>
    <row r="366" spans="1:10" ht="46.9" hidden="1" customHeight="1">
      <c r="A366" s="7" t="s">
        <v>355</v>
      </c>
      <c r="B366" s="4">
        <v>3502500</v>
      </c>
      <c r="C366" s="3"/>
      <c r="D366" s="9" t="s">
        <v>647</v>
      </c>
      <c r="E366" s="4">
        <v>24</v>
      </c>
      <c r="F366" s="10"/>
      <c r="G366" s="3">
        <f>0.36*F366</f>
        <v>0</v>
      </c>
      <c r="H366" s="3">
        <f>0.001016016*F366</f>
        <v>0</v>
      </c>
      <c r="I366" s="3"/>
      <c r="J366" s="3" t="s">
        <v>299</v>
      </c>
    </row>
    <row r="367" spans="1:10" ht="46.9" hidden="1" customHeight="1">
      <c r="A367" s="7" t="s">
        <v>355</v>
      </c>
      <c r="B367" s="4">
        <v>3502517</v>
      </c>
      <c r="C367" s="3"/>
      <c r="D367" s="9" t="s">
        <v>648</v>
      </c>
      <c r="E367" s="4">
        <v>24</v>
      </c>
      <c r="F367" s="10"/>
      <c r="G367" s="3">
        <f>0.18*F367</f>
        <v>0</v>
      </c>
      <c r="H367" s="3">
        <f>0.000515888*F367</f>
        <v>0</v>
      </c>
      <c r="I367" s="3"/>
      <c r="J367" s="3" t="s">
        <v>299</v>
      </c>
    </row>
    <row r="368" spans="1:10" ht="46.9" hidden="1" customHeight="1">
      <c r="A368" s="7" t="s">
        <v>355</v>
      </c>
      <c r="B368" s="4">
        <v>3502531</v>
      </c>
      <c r="C368" s="3"/>
      <c r="D368" s="9" t="s">
        <v>649</v>
      </c>
      <c r="E368" s="4">
        <v>24</v>
      </c>
      <c r="F368" s="10"/>
      <c r="G368" s="3">
        <f>0.16*F368</f>
        <v>0</v>
      </c>
      <c r="H368" s="3">
        <f>0.000513521*F368</f>
        <v>0</v>
      </c>
      <c r="I368" s="3"/>
      <c r="J368" s="3" t="s">
        <v>299</v>
      </c>
    </row>
    <row r="369" spans="1:10" ht="46.9" hidden="1" customHeight="1">
      <c r="A369" s="7" t="s">
        <v>355</v>
      </c>
      <c r="B369" s="4">
        <v>3700211</v>
      </c>
      <c r="C369" s="3"/>
      <c r="D369" s="9" t="s">
        <v>650</v>
      </c>
      <c r="E369" s="4">
        <v>18</v>
      </c>
      <c r="F369" s="10"/>
      <c r="G369" s="3">
        <f>0.61*F369</f>
        <v>0</v>
      </c>
      <c r="H369" s="3">
        <f>0.001994667*F369</f>
        <v>0</v>
      </c>
      <c r="I369" s="3"/>
      <c r="J369" s="3" t="s">
        <v>299</v>
      </c>
    </row>
    <row r="370" spans="1:10" ht="46.9" hidden="1" customHeight="1">
      <c r="A370" s="7" t="s">
        <v>355</v>
      </c>
      <c r="B370" s="4">
        <v>3700212</v>
      </c>
      <c r="C370" s="3"/>
      <c r="D370" s="9" t="s">
        <v>651</v>
      </c>
      <c r="E370" s="4">
        <v>12</v>
      </c>
      <c r="F370" s="10"/>
      <c r="G370" s="3">
        <f>0.21*F370</f>
        <v>0</v>
      </c>
      <c r="H370" s="3">
        <f>0.001287*F370</f>
        <v>0</v>
      </c>
      <c r="I370" s="3"/>
      <c r="J370" s="3" t="s">
        <v>299</v>
      </c>
    </row>
    <row r="371" spans="1:10" ht="46.9" hidden="1" customHeight="1">
      <c r="A371" s="7" t="s">
        <v>355</v>
      </c>
      <c r="B371" s="4">
        <v>3700213</v>
      </c>
      <c r="C371" s="3"/>
      <c r="D371" s="9" t="s">
        <v>652</v>
      </c>
      <c r="E371" s="4">
        <v>12</v>
      </c>
      <c r="F371" s="10"/>
      <c r="G371" s="3">
        <f>0.12*F371</f>
        <v>0</v>
      </c>
      <c r="H371" s="3">
        <f>0.0007128*F371</f>
        <v>0</v>
      </c>
      <c r="I371" s="3"/>
      <c r="J371" s="3" t="s">
        <v>299</v>
      </c>
    </row>
    <row r="372" spans="1:10" ht="46.9" hidden="1" customHeight="1">
      <c r="A372" s="7" t="s">
        <v>355</v>
      </c>
      <c r="B372" s="4">
        <v>3700214</v>
      </c>
      <c r="C372" s="3"/>
      <c r="D372" s="9" t="s">
        <v>653</v>
      </c>
      <c r="E372" s="4">
        <v>12</v>
      </c>
      <c r="F372" s="10"/>
      <c r="G372" s="3">
        <f>0.12*F372</f>
        <v>0</v>
      </c>
      <c r="H372" s="3">
        <f>0.0007128*F372</f>
        <v>0</v>
      </c>
      <c r="I372" s="3"/>
      <c r="J372" s="3" t="s">
        <v>299</v>
      </c>
    </row>
    <row r="373" spans="1:10" ht="46.9" hidden="1" customHeight="1">
      <c r="A373" s="7" t="s">
        <v>355</v>
      </c>
      <c r="B373" s="4">
        <v>3700215</v>
      </c>
      <c r="C373" s="3"/>
      <c r="D373" s="9" t="s">
        <v>654</v>
      </c>
      <c r="E373" s="4">
        <v>12</v>
      </c>
      <c r="F373" s="10"/>
      <c r="G373" s="3">
        <f>0.12*F373</f>
        <v>0</v>
      </c>
      <c r="H373" s="3">
        <f>0.0007128*F373</f>
        <v>0</v>
      </c>
      <c r="I373" s="3"/>
      <c r="J373" s="3" t="s">
        <v>299</v>
      </c>
    </row>
    <row r="374" spans="1:10" ht="46.9" hidden="1" customHeight="1">
      <c r="A374" s="7" t="s">
        <v>355</v>
      </c>
      <c r="B374" s="4">
        <v>3700216</v>
      </c>
      <c r="C374" s="3"/>
      <c r="D374" s="9" t="s">
        <v>655</v>
      </c>
      <c r="E374" s="4">
        <v>12</v>
      </c>
      <c r="F374" s="10"/>
      <c r="G374" s="3">
        <f>0.22*F374</f>
        <v>0</v>
      </c>
      <c r="H374" s="3">
        <f>0.001287*F374</f>
        <v>0</v>
      </c>
      <c r="I374" s="3"/>
      <c r="J374" s="3" t="s">
        <v>299</v>
      </c>
    </row>
    <row r="375" spans="1:10" ht="46.9" hidden="1" customHeight="1">
      <c r="A375" s="7" t="s">
        <v>355</v>
      </c>
      <c r="B375" s="4">
        <v>3700217</v>
      </c>
      <c r="C375" s="3"/>
      <c r="D375" s="9" t="s">
        <v>656</v>
      </c>
      <c r="E375" s="4">
        <v>12</v>
      </c>
      <c r="F375" s="10"/>
      <c r="G375" s="3">
        <f>0.2*F375</f>
        <v>0</v>
      </c>
      <c r="H375" s="3">
        <f>0.001287*F375</f>
        <v>0</v>
      </c>
      <c r="I375" s="3"/>
      <c r="J375" s="3" t="s">
        <v>299</v>
      </c>
    </row>
    <row r="376" spans="1:10" ht="46.9" hidden="1" customHeight="1">
      <c r="A376" s="7" t="s">
        <v>355</v>
      </c>
      <c r="B376" s="4">
        <v>3700218</v>
      </c>
      <c r="C376" s="3"/>
      <c r="D376" s="9" t="s">
        <v>657</v>
      </c>
      <c r="E376" s="4">
        <v>12</v>
      </c>
      <c r="F376" s="10"/>
      <c r="G376" s="3">
        <f>0.11*F376</f>
        <v>0</v>
      </c>
      <c r="H376" s="3">
        <f>0.0007128*F376</f>
        <v>0</v>
      </c>
      <c r="I376" s="3"/>
      <c r="J376" s="3" t="s">
        <v>299</v>
      </c>
    </row>
    <row r="377" spans="1:10" ht="46.9" hidden="1" customHeight="1">
      <c r="A377" s="7" t="s">
        <v>355</v>
      </c>
      <c r="B377" s="4">
        <v>1303005</v>
      </c>
      <c r="C377" s="3"/>
      <c r="D377" s="9" t="s">
        <v>658</v>
      </c>
      <c r="E377" s="4">
        <v>18</v>
      </c>
      <c r="F377" s="10"/>
      <c r="G377" s="3">
        <f>0.64*F377</f>
        <v>0</v>
      </c>
      <c r="H377" s="3">
        <f>0.001994667*F377</f>
        <v>0</v>
      </c>
      <c r="I377" s="3"/>
      <c r="J377" s="3" t="s">
        <v>299</v>
      </c>
    </row>
    <row r="378" spans="1:10" ht="46.9" hidden="1" customHeight="1">
      <c r="A378" s="7" t="s">
        <v>355</v>
      </c>
      <c r="B378" s="4">
        <v>3700219</v>
      </c>
      <c r="C378" s="3"/>
      <c r="D378" s="9" t="s">
        <v>659</v>
      </c>
      <c r="E378" s="4">
        <v>12</v>
      </c>
      <c r="F378" s="10"/>
      <c r="G378" s="3">
        <f>0.2*F378</f>
        <v>0</v>
      </c>
      <c r="H378" s="3">
        <f>0.000013004*F378</f>
        <v>0</v>
      </c>
      <c r="I378" s="3"/>
      <c r="J378" s="3" t="s">
        <v>299</v>
      </c>
    </row>
    <row r="379" spans="1:10" ht="46.9" hidden="1" customHeight="1">
      <c r="A379" s="7" t="s">
        <v>355</v>
      </c>
      <c r="B379" s="4">
        <v>3700220</v>
      </c>
      <c r="C379" s="3"/>
      <c r="D379" s="9" t="s">
        <v>660</v>
      </c>
      <c r="E379" s="4">
        <v>12</v>
      </c>
      <c r="F379" s="10"/>
      <c r="G379" s="3">
        <f>0.11*F379</f>
        <v>0</v>
      </c>
      <c r="H379" s="3">
        <f>0.0007344*F379</f>
        <v>0</v>
      </c>
      <c r="I379" s="3"/>
      <c r="J379" s="3" t="s">
        <v>299</v>
      </c>
    </row>
    <row r="380" spans="1:10" ht="46.9" hidden="1" customHeight="1">
      <c r="A380" s="7" t="s">
        <v>355</v>
      </c>
      <c r="B380" s="4">
        <v>3700221</v>
      </c>
      <c r="C380" s="3"/>
      <c r="D380" s="9" t="s">
        <v>661</v>
      </c>
      <c r="E380" s="4">
        <v>12</v>
      </c>
      <c r="F380" s="10"/>
      <c r="G380" s="3">
        <f>0.11*F380</f>
        <v>0</v>
      </c>
      <c r="H380" s="3">
        <f>0.0007344*F380</f>
        <v>0</v>
      </c>
      <c r="I380" s="3"/>
      <c r="J380" s="3" t="s">
        <v>299</v>
      </c>
    </row>
    <row r="381" spans="1:10" ht="46.9" hidden="1" customHeight="1">
      <c r="A381" s="7" t="s">
        <v>355</v>
      </c>
      <c r="B381" s="4">
        <v>3700222</v>
      </c>
      <c r="C381" s="3"/>
      <c r="D381" s="9" t="s">
        <v>662</v>
      </c>
      <c r="E381" s="4">
        <v>12</v>
      </c>
      <c r="F381" s="10"/>
      <c r="G381" s="3">
        <f>0.21*F381</f>
        <v>0</v>
      </c>
      <c r="H381" s="3">
        <f>0.001287*F381</f>
        <v>0</v>
      </c>
      <c r="I381" s="3"/>
      <c r="J381" s="3" t="s">
        <v>299</v>
      </c>
    </row>
    <row r="382" spans="1:10" ht="46.9" hidden="1" customHeight="1">
      <c r="A382" s="7" t="s">
        <v>355</v>
      </c>
      <c r="B382" s="4">
        <v>3700223</v>
      </c>
      <c r="C382" s="3"/>
      <c r="D382" s="9" t="s">
        <v>663</v>
      </c>
      <c r="E382" s="4">
        <v>12</v>
      </c>
      <c r="F382" s="10"/>
      <c r="G382" s="3">
        <f>0.19*F382</f>
        <v>0</v>
      </c>
      <c r="H382" s="3">
        <f>0.001287*F382</f>
        <v>0</v>
      </c>
      <c r="I382" s="3"/>
      <c r="J382" s="3" t="s">
        <v>299</v>
      </c>
    </row>
    <row r="383" spans="1:10" ht="46.9" hidden="1" customHeight="1">
      <c r="A383" s="7" t="s">
        <v>355</v>
      </c>
      <c r="B383" s="4">
        <v>3700224</v>
      </c>
      <c r="C383" s="3"/>
      <c r="D383" s="9" t="s">
        <v>664</v>
      </c>
      <c r="E383" s="4">
        <v>12</v>
      </c>
      <c r="F383" s="10"/>
      <c r="G383" s="3">
        <f>0.1*F383</f>
        <v>0</v>
      </c>
      <c r="H383" s="3">
        <f>0.0007344*F383</f>
        <v>0</v>
      </c>
      <c r="I383" s="3"/>
      <c r="J383" s="3" t="s">
        <v>299</v>
      </c>
    </row>
    <row r="384" spans="1:10" ht="46.9" hidden="1" customHeight="1">
      <c r="A384" s="7" t="s">
        <v>355</v>
      </c>
      <c r="B384" s="4">
        <v>3900000</v>
      </c>
      <c r="C384" s="3"/>
      <c r="D384" s="9" t="s">
        <v>665</v>
      </c>
      <c r="E384" s="4">
        <v>6</v>
      </c>
      <c r="F384" s="10"/>
      <c r="G384" s="3">
        <f>0.32*F384</f>
        <v>0</v>
      </c>
      <c r="H384" s="3">
        <f>0.001246667*F384</f>
        <v>0</v>
      </c>
      <c r="I384" s="3"/>
      <c r="J384" s="3" t="s">
        <v>299</v>
      </c>
    </row>
    <row r="385" spans="1:10" ht="46.9" hidden="1" customHeight="1">
      <c r="A385" s="7" t="s">
        <v>360</v>
      </c>
      <c r="B385" s="4">
        <v>3900001</v>
      </c>
      <c r="C385" s="3"/>
      <c r="D385" s="9" t="s">
        <v>666</v>
      </c>
      <c r="E385" s="4">
        <v>6</v>
      </c>
      <c r="F385" s="10"/>
      <c r="G385" s="3">
        <f>0.31*F385</f>
        <v>0</v>
      </c>
      <c r="H385" s="3">
        <f>0.0011*F385</f>
        <v>0</v>
      </c>
      <c r="I385" s="3"/>
      <c r="J385" s="3" t="s">
        <v>299</v>
      </c>
    </row>
    <row r="386" spans="1:10" ht="46.9" hidden="1" customHeight="1">
      <c r="A386" s="7" t="s">
        <v>355</v>
      </c>
      <c r="B386" s="4">
        <v>3900002</v>
      </c>
      <c r="C386" s="3"/>
      <c r="D386" s="9" t="s">
        <v>667</v>
      </c>
      <c r="E386" s="4">
        <v>8</v>
      </c>
      <c r="F386" s="10"/>
      <c r="G386" s="3">
        <f>0.22*F386</f>
        <v>0</v>
      </c>
      <c r="H386" s="3">
        <f>0.000739375*F386</f>
        <v>0</v>
      </c>
      <c r="I386" s="3"/>
      <c r="J386" s="3" t="s">
        <v>299</v>
      </c>
    </row>
    <row r="387" spans="1:10" ht="46.9" hidden="1" customHeight="1">
      <c r="A387" s="7" t="s">
        <v>355</v>
      </c>
      <c r="B387" s="4">
        <v>3900003</v>
      </c>
      <c r="C387" s="3"/>
      <c r="D387" s="9" t="s">
        <v>668</v>
      </c>
      <c r="E387" s="4">
        <v>6</v>
      </c>
      <c r="F387" s="10"/>
      <c r="G387" s="3">
        <f>0.31*F387</f>
        <v>0</v>
      </c>
      <c r="H387" s="3">
        <f>0.0011*F387</f>
        <v>0</v>
      </c>
      <c r="I387" s="3"/>
      <c r="J387" s="3" t="s">
        <v>299</v>
      </c>
    </row>
    <row r="388" spans="1:10" ht="46.9" hidden="1" customHeight="1">
      <c r="A388" s="7" t="s">
        <v>355</v>
      </c>
      <c r="B388" s="4">
        <v>3900004</v>
      </c>
      <c r="C388" s="3"/>
      <c r="D388" s="9" t="s">
        <v>669</v>
      </c>
      <c r="E388" s="4">
        <v>6</v>
      </c>
      <c r="F388" s="10"/>
      <c r="G388" s="3">
        <f>0.29*F388</f>
        <v>0</v>
      </c>
      <c r="H388" s="3">
        <f>0.0011*F388</f>
        <v>0</v>
      </c>
      <c r="I388" s="3"/>
      <c r="J388" s="3" t="s">
        <v>299</v>
      </c>
    </row>
    <row r="389" spans="1:10" ht="46.9" hidden="1" customHeight="1">
      <c r="A389" s="7" t="s">
        <v>355</v>
      </c>
      <c r="B389" s="4">
        <v>3900005</v>
      </c>
      <c r="C389" s="3"/>
      <c r="D389" s="9" t="s">
        <v>670</v>
      </c>
      <c r="E389" s="4">
        <v>6</v>
      </c>
      <c r="F389" s="10"/>
      <c r="G389" s="3">
        <f>0.32*F389</f>
        <v>0</v>
      </c>
      <c r="H389" s="3">
        <f>0.0011*F389</f>
        <v>0</v>
      </c>
      <c r="I389" s="3"/>
      <c r="J389" s="3" t="s">
        <v>299</v>
      </c>
    </row>
    <row r="390" spans="1:10" ht="46.9" hidden="1" customHeight="1">
      <c r="A390" s="7" t="s">
        <v>355</v>
      </c>
      <c r="B390" s="4">
        <v>3900006</v>
      </c>
      <c r="C390" s="3"/>
      <c r="D390" s="9" t="s">
        <v>671</v>
      </c>
      <c r="E390" s="4">
        <v>8</v>
      </c>
      <c r="F390" s="10"/>
      <c r="G390" s="3">
        <f>0.21*F390</f>
        <v>0</v>
      </c>
      <c r="H390" s="3">
        <f>0.000739375*F390</f>
        <v>0</v>
      </c>
      <c r="I390" s="3"/>
      <c r="J390" s="3" t="s">
        <v>299</v>
      </c>
    </row>
    <row r="391" spans="1:10" ht="46.9" hidden="1" customHeight="1">
      <c r="A391" s="7" t="s">
        <v>355</v>
      </c>
      <c r="B391" s="4">
        <v>3900007</v>
      </c>
      <c r="C391" s="3"/>
      <c r="D391" s="9" t="s">
        <v>672</v>
      </c>
      <c r="E391" s="4">
        <v>8</v>
      </c>
      <c r="F391" s="10"/>
      <c r="G391" s="3">
        <f>0.22*F391</f>
        <v>0</v>
      </c>
      <c r="H391" s="3">
        <f>0.000739375*F391</f>
        <v>0</v>
      </c>
      <c r="I391" s="3"/>
      <c r="J391" s="3" t="s">
        <v>299</v>
      </c>
    </row>
    <row r="392" spans="1:10" ht="46.9" hidden="1" customHeight="1">
      <c r="A392" s="7" t="s">
        <v>355</v>
      </c>
      <c r="B392" s="4">
        <v>3900008</v>
      </c>
      <c r="C392" s="3"/>
      <c r="D392" s="9" t="s">
        <v>673</v>
      </c>
      <c r="E392" s="4">
        <v>8</v>
      </c>
      <c r="F392" s="10"/>
      <c r="G392" s="3">
        <f>0.13*F392</f>
        <v>0</v>
      </c>
      <c r="H392" s="3">
        <f>0.000429813*F392</f>
        <v>0</v>
      </c>
      <c r="I392" s="3"/>
      <c r="J392" s="3" t="s">
        <v>299</v>
      </c>
    </row>
    <row r="393" spans="1:10" ht="46.9" hidden="1" customHeight="1">
      <c r="A393" s="7" t="s">
        <v>355</v>
      </c>
      <c r="B393" s="4">
        <v>3900010</v>
      </c>
      <c r="C393" s="3"/>
      <c r="D393" s="9" t="s">
        <v>665</v>
      </c>
      <c r="E393" s="4">
        <v>6</v>
      </c>
      <c r="F393" s="10"/>
      <c r="G393" s="3">
        <f>0.32*F393</f>
        <v>0</v>
      </c>
      <c r="H393" s="3">
        <f>0.001246667*F393</f>
        <v>0</v>
      </c>
      <c r="I393" s="3"/>
      <c r="J393" s="3" t="s">
        <v>299</v>
      </c>
    </row>
    <row r="394" spans="1:10" ht="46.9" hidden="1" customHeight="1">
      <c r="A394" s="7" t="s">
        <v>360</v>
      </c>
      <c r="B394" s="4">
        <v>3900011</v>
      </c>
      <c r="C394" s="3"/>
      <c r="D394" s="9" t="s">
        <v>666</v>
      </c>
      <c r="E394" s="4">
        <v>6</v>
      </c>
      <c r="F394" s="10"/>
      <c r="G394" s="3">
        <f>0.31*F394</f>
        <v>0</v>
      </c>
      <c r="H394" s="3">
        <f>0.0011*F394</f>
        <v>0</v>
      </c>
      <c r="I394" s="3"/>
      <c r="J394" s="3" t="s">
        <v>299</v>
      </c>
    </row>
    <row r="395" spans="1:10" ht="46.9" hidden="1" customHeight="1">
      <c r="A395" s="7" t="s">
        <v>355</v>
      </c>
      <c r="B395" s="4">
        <v>3900012</v>
      </c>
      <c r="C395" s="3"/>
      <c r="D395" s="9" t="s">
        <v>667</v>
      </c>
      <c r="E395" s="4">
        <v>8</v>
      </c>
      <c r="F395" s="10"/>
      <c r="G395" s="3">
        <f>0.22*F395</f>
        <v>0</v>
      </c>
      <c r="H395" s="3">
        <f>0.000739375*F395</f>
        <v>0</v>
      </c>
      <c r="I395" s="3"/>
      <c r="J395" s="3" t="s">
        <v>299</v>
      </c>
    </row>
    <row r="396" spans="1:10" ht="46.9" hidden="1" customHeight="1">
      <c r="A396" s="7" t="s">
        <v>360</v>
      </c>
      <c r="B396" s="4">
        <v>3900013</v>
      </c>
      <c r="C396" s="3"/>
      <c r="D396" s="9" t="s">
        <v>668</v>
      </c>
      <c r="E396" s="4">
        <v>6</v>
      </c>
      <c r="F396" s="10"/>
      <c r="G396" s="3">
        <f>0.3*F396</f>
        <v>0</v>
      </c>
      <c r="H396" s="3">
        <f>0.0011*F396</f>
        <v>0</v>
      </c>
      <c r="I396" s="3"/>
      <c r="J396" s="3" t="s">
        <v>299</v>
      </c>
    </row>
    <row r="397" spans="1:10" ht="46.9" hidden="1" customHeight="1">
      <c r="A397" s="7" t="s">
        <v>355</v>
      </c>
      <c r="B397" s="4">
        <v>3900014</v>
      </c>
      <c r="C397" s="3"/>
      <c r="D397" s="9" t="s">
        <v>669</v>
      </c>
      <c r="E397" s="4">
        <v>6</v>
      </c>
      <c r="F397" s="10"/>
      <c r="G397" s="3">
        <f>0.29*F397</f>
        <v>0</v>
      </c>
      <c r="H397" s="3">
        <f>0.0011*F397</f>
        <v>0</v>
      </c>
      <c r="I397" s="3"/>
      <c r="J397" s="3" t="s">
        <v>299</v>
      </c>
    </row>
    <row r="398" spans="1:10" ht="46.9" hidden="1" customHeight="1">
      <c r="A398" s="7" t="s">
        <v>355</v>
      </c>
      <c r="B398" s="4">
        <v>3900015</v>
      </c>
      <c r="C398" s="3"/>
      <c r="D398" s="9" t="s">
        <v>670</v>
      </c>
      <c r="E398" s="4">
        <v>6</v>
      </c>
      <c r="F398" s="10"/>
      <c r="G398" s="3">
        <f>0.32*F398</f>
        <v>0</v>
      </c>
      <c r="H398" s="3">
        <f>0.0011*F398</f>
        <v>0</v>
      </c>
      <c r="I398" s="3"/>
      <c r="J398" s="3" t="s">
        <v>299</v>
      </c>
    </row>
    <row r="399" spans="1:10" ht="46.9" hidden="1" customHeight="1">
      <c r="A399" s="7" t="s">
        <v>355</v>
      </c>
      <c r="B399" s="4">
        <v>3900016</v>
      </c>
      <c r="C399" s="3"/>
      <c r="D399" s="9" t="s">
        <v>671</v>
      </c>
      <c r="E399" s="4">
        <v>8</v>
      </c>
      <c r="F399" s="10"/>
      <c r="G399" s="3">
        <f>0.2*F399</f>
        <v>0</v>
      </c>
      <c r="H399" s="3">
        <f>0.000739375*F399</f>
        <v>0</v>
      </c>
      <c r="I399" s="3"/>
      <c r="J399" s="3" t="s">
        <v>299</v>
      </c>
    </row>
    <row r="400" spans="1:10" ht="46.9" hidden="1" customHeight="1">
      <c r="A400" s="7" t="s">
        <v>355</v>
      </c>
      <c r="B400" s="4">
        <v>3900017</v>
      </c>
      <c r="C400" s="3"/>
      <c r="D400" s="9" t="s">
        <v>672</v>
      </c>
      <c r="E400" s="4">
        <v>8</v>
      </c>
      <c r="F400" s="10"/>
      <c r="G400" s="3">
        <f>0.22*F400</f>
        <v>0</v>
      </c>
      <c r="H400" s="3">
        <f>0.000739375*F400</f>
        <v>0</v>
      </c>
      <c r="I400" s="3"/>
      <c r="J400" s="3" t="s">
        <v>299</v>
      </c>
    </row>
    <row r="401" spans="1:10" ht="46.9" hidden="1" customHeight="1">
      <c r="A401" s="7" t="s">
        <v>355</v>
      </c>
      <c r="B401" s="4">
        <v>3900018</v>
      </c>
      <c r="C401" s="3"/>
      <c r="D401" s="9" t="s">
        <v>673</v>
      </c>
      <c r="E401" s="4">
        <v>8</v>
      </c>
      <c r="F401" s="10"/>
      <c r="G401" s="3">
        <f>0.14*F401</f>
        <v>0</v>
      </c>
      <c r="H401" s="3">
        <f>0.000429813*F401</f>
        <v>0</v>
      </c>
      <c r="I401" s="3"/>
      <c r="J401" s="3" t="s">
        <v>299</v>
      </c>
    </row>
    <row r="402" spans="1:10" ht="46.9" hidden="1" customHeight="1">
      <c r="A402" s="7" t="s">
        <v>355</v>
      </c>
      <c r="B402" s="4">
        <v>3900057</v>
      </c>
      <c r="C402" s="3"/>
      <c r="D402" s="9" t="s">
        <v>674</v>
      </c>
      <c r="E402" s="4">
        <v>8</v>
      </c>
      <c r="F402" s="10"/>
      <c r="G402" s="3">
        <f>0.22*F402</f>
        <v>0</v>
      </c>
      <c r="H402" s="3">
        <f>0.000739375*F402</f>
        <v>0</v>
      </c>
      <c r="I402" s="3"/>
      <c r="J402" s="3" t="s">
        <v>299</v>
      </c>
    </row>
    <row r="403" spans="1:10" ht="46.9" hidden="1" customHeight="1">
      <c r="A403" s="7" t="s">
        <v>355</v>
      </c>
      <c r="B403" s="4">
        <v>3900058</v>
      </c>
      <c r="C403" s="3"/>
      <c r="D403" s="9" t="s">
        <v>674</v>
      </c>
      <c r="E403" s="4">
        <v>8</v>
      </c>
      <c r="F403" s="10"/>
      <c r="G403" s="3">
        <f>0.21*F403</f>
        <v>0</v>
      </c>
      <c r="H403" s="3">
        <f>0.000739375*F403</f>
        <v>0</v>
      </c>
      <c r="I403" s="3"/>
      <c r="J403" s="3" t="s">
        <v>299</v>
      </c>
    </row>
    <row r="404" spans="1:10" ht="46.9" hidden="1" customHeight="1">
      <c r="A404" s="7" t="s">
        <v>355</v>
      </c>
      <c r="B404" s="4">
        <v>3950105</v>
      </c>
      <c r="C404" s="3"/>
      <c r="D404" s="9" t="s">
        <v>675</v>
      </c>
      <c r="E404" s="4">
        <v>8</v>
      </c>
      <c r="F404" s="10"/>
      <c r="G404" s="3">
        <f>0.11*F404</f>
        <v>0</v>
      </c>
      <c r="H404" s="3">
        <f>0.000552*F404</f>
        <v>0</v>
      </c>
      <c r="I404" s="3"/>
      <c r="J404" s="3" t="s">
        <v>299</v>
      </c>
    </row>
    <row r="405" spans="1:10" ht="46.9" hidden="1" customHeight="1">
      <c r="A405" s="7" t="s">
        <v>355</v>
      </c>
      <c r="B405" s="4">
        <v>3950106</v>
      </c>
      <c r="C405" s="3"/>
      <c r="D405" s="9" t="s">
        <v>676</v>
      </c>
      <c r="E405" s="4">
        <v>8</v>
      </c>
      <c r="F405" s="10"/>
      <c r="G405" s="3">
        <f>0.17*F405</f>
        <v>0</v>
      </c>
      <c r="H405" s="3">
        <f>0.000824688*F405</f>
        <v>0</v>
      </c>
      <c r="I405" s="3"/>
      <c r="J405" s="3" t="s">
        <v>299</v>
      </c>
    </row>
    <row r="406" spans="1:10" ht="46.9" hidden="1" customHeight="1">
      <c r="A406" s="7" t="s">
        <v>355</v>
      </c>
      <c r="B406" s="4">
        <v>3950107</v>
      </c>
      <c r="C406" s="3"/>
      <c r="D406" s="9" t="s">
        <v>677</v>
      </c>
      <c r="E406" s="4">
        <v>8</v>
      </c>
      <c r="F406" s="10"/>
      <c r="G406" s="3">
        <f>0.15*F406</f>
        <v>0</v>
      </c>
      <c r="H406" s="3">
        <f>0.000663*F406</f>
        <v>0</v>
      </c>
      <c r="I406" s="3"/>
      <c r="J406" s="3" t="s">
        <v>299</v>
      </c>
    </row>
    <row r="407" spans="1:10" ht="46.9" hidden="1" customHeight="1">
      <c r="A407" s="7" t="s">
        <v>355</v>
      </c>
      <c r="B407" s="4">
        <v>3950108</v>
      </c>
      <c r="C407" s="3"/>
      <c r="D407" s="9" t="s">
        <v>678</v>
      </c>
      <c r="E407" s="4">
        <v>8</v>
      </c>
      <c r="F407" s="10"/>
      <c r="G407" s="3">
        <f>0.13*F407</f>
        <v>0</v>
      </c>
      <c r="H407" s="3">
        <f>0.000663*F407</f>
        <v>0</v>
      </c>
      <c r="I407" s="3"/>
      <c r="J407" s="3" t="s">
        <v>299</v>
      </c>
    </row>
    <row r="408" spans="1:10" ht="46.9" hidden="1" customHeight="1">
      <c r="A408" s="7" t="s">
        <v>355</v>
      </c>
      <c r="B408" s="4">
        <v>3950109</v>
      </c>
      <c r="C408" s="3"/>
      <c r="D408" s="9" t="s">
        <v>679</v>
      </c>
      <c r="E408" s="4">
        <v>6</v>
      </c>
      <c r="F408" s="10"/>
      <c r="G408" s="3">
        <f>0.23*F408</f>
        <v>0</v>
      </c>
      <c r="H408" s="3">
        <f>0.000934444*F408</f>
        <v>0</v>
      </c>
      <c r="I408" s="3"/>
      <c r="J408" s="3" t="s">
        <v>299</v>
      </c>
    </row>
    <row r="409" spans="1:10" ht="46.9" hidden="1" customHeight="1">
      <c r="A409" s="7" t="s">
        <v>355</v>
      </c>
      <c r="B409" s="4">
        <v>3950110</v>
      </c>
      <c r="C409" s="3"/>
      <c r="D409" s="9" t="s">
        <v>680</v>
      </c>
      <c r="E409" s="4">
        <v>6</v>
      </c>
      <c r="F409" s="10"/>
      <c r="G409" s="3">
        <f>0.22*F409</f>
        <v>0</v>
      </c>
      <c r="H409" s="3">
        <f>0.000934444*F409</f>
        <v>0</v>
      </c>
      <c r="I409" s="3"/>
      <c r="J409" s="3" t="s">
        <v>299</v>
      </c>
    </row>
    <row r="410" spans="1:10" ht="46.9" hidden="1" customHeight="1">
      <c r="A410" s="7" t="s">
        <v>355</v>
      </c>
      <c r="B410" s="4">
        <v>3950111</v>
      </c>
      <c r="C410" s="3"/>
      <c r="D410" s="9" t="s">
        <v>681</v>
      </c>
      <c r="E410" s="4">
        <v>6</v>
      </c>
      <c r="F410" s="10"/>
      <c r="G410" s="3">
        <f>0.24*F410</f>
        <v>0</v>
      </c>
      <c r="H410" s="3">
        <f>0.000934444*F410</f>
        <v>0</v>
      </c>
      <c r="I410" s="3"/>
      <c r="J410" s="3" t="s">
        <v>299</v>
      </c>
    </row>
    <row r="411" spans="1:10" ht="46.9" hidden="1" customHeight="1">
      <c r="A411" s="7" t="s">
        <v>355</v>
      </c>
      <c r="B411" s="4">
        <v>3950114</v>
      </c>
      <c r="C411" s="3"/>
      <c r="D411" s="9" t="s">
        <v>682</v>
      </c>
      <c r="E411" s="4">
        <v>8</v>
      </c>
      <c r="F411" s="10"/>
      <c r="G411" s="3">
        <f>0.12*F411</f>
        <v>0</v>
      </c>
      <c r="H411" s="3">
        <f>0.000552*F411</f>
        <v>0</v>
      </c>
      <c r="I411" s="3"/>
      <c r="J411" s="3" t="s">
        <v>299</v>
      </c>
    </row>
    <row r="412" spans="1:10" ht="46.9" hidden="1" customHeight="1">
      <c r="A412" s="7" t="s">
        <v>355</v>
      </c>
      <c r="B412" s="4">
        <v>3950115</v>
      </c>
      <c r="C412" s="3"/>
      <c r="D412" s="9" t="s">
        <v>683</v>
      </c>
      <c r="E412" s="4">
        <v>6</v>
      </c>
      <c r="F412" s="10"/>
      <c r="G412" s="3">
        <f>0.25*F412</f>
        <v>0</v>
      </c>
      <c r="H412" s="3">
        <f>0.001073333*F412</f>
        <v>0</v>
      </c>
      <c r="I412" s="3"/>
      <c r="J412" s="3" t="s">
        <v>299</v>
      </c>
    </row>
    <row r="413" spans="1:10" ht="46.9" hidden="1" customHeight="1">
      <c r="A413" s="7" t="s">
        <v>355</v>
      </c>
      <c r="B413" s="4">
        <v>3950042</v>
      </c>
      <c r="C413" s="3"/>
      <c r="D413" s="9" t="s">
        <v>684</v>
      </c>
      <c r="E413" s="4">
        <v>6</v>
      </c>
      <c r="F413" s="10"/>
      <c r="G413" s="3">
        <f>0.18*F413</f>
        <v>0</v>
      </c>
      <c r="H413" s="3">
        <f>0.001026667*F413</f>
        <v>0</v>
      </c>
      <c r="I413" s="3"/>
      <c r="J413" s="3" t="s">
        <v>299</v>
      </c>
    </row>
    <row r="414" spans="1:10" ht="46.9" hidden="1" customHeight="1">
      <c r="A414" s="7" t="s">
        <v>355</v>
      </c>
      <c r="B414" s="4">
        <v>3950037</v>
      </c>
      <c r="C414" s="3"/>
      <c r="D414" s="9" t="s">
        <v>685</v>
      </c>
      <c r="E414" s="4">
        <v>6</v>
      </c>
      <c r="F414" s="10"/>
      <c r="G414" s="3">
        <f>0.25*F414</f>
        <v>0</v>
      </c>
      <c r="H414" s="3">
        <f>0.001073333*F414</f>
        <v>0</v>
      </c>
      <c r="I414" s="3"/>
      <c r="J414" s="3" t="s">
        <v>299</v>
      </c>
    </row>
    <row r="415" spans="1:10" ht="46.9" hidden="1" customHeight="1">
      <c r="A415" s="7" t="s">
        <v>355</v>
      </c>
      <c r="B415" s="4">
        <v>3950038</v>
      </c>
      <c r="C415" s="3"/>
      <c r="D415" s="9" t="s">
        <v>686</v>
      </c>
      <c r="E415" s="4">
        <v>6</v>
      </c>
      <c r="F415" s="10"/>
      <c r="G415" s="3">
        <f>0.23*F415</f>
        <v>0</v>
      </c>
      <c r="H415" s="3">
        <f>0.000934444*F415</f>
        <v>0</v>
      </c>
      <c r="I415" s="3"/>
      <c r="J415" s="3" t="s">
        <v>299</v>
      </c>
    </row>
    <row r="416" spans="1:10" ht="46.9" customHeight="1">
      <c r="A416" s="7" t="s">
        <v>355</v>
      </c>
      <c r="B416" s="4">
        <v>3950039</v>
      </c>
      <c r="C416" s="3"/>
      <c r="D416" s="9" t="s">
        <v>687</v>
      </c>
      <c r="E416" s="4">
        <v>6</v>
      </c>
      <c r="F416" s="10">
        <v>1</v>
      </c>
      <c r="G416" s="3">
        <f>0.23*F416</f>
        <v>0.23</v>
      </c>
      <c r="H416" s="3">
        <f>0.000934444*F416</f>
        <v>9.3444399999999999E-4</v>
      </c>
      <c r="I416" s="3"/>
      <c r="J416" s="3" t="s">
        <v>299</v>
      </c>
    </row>
    <row r="417" spans="1:10" ht="46.9" customHeight="1">
      <c r="A417" s="7" t="s">
        <v>355</v>
      </c>
      <c r="B417" s="4">
        <v>3950040</v>
      </c>
      <c r="C417" s="3"/>
      <c r="D417" s="9" t="s">
        <v>688</v>
      </c>
      <c r="E417" s="4">
        <v>6</v>
      </c>
      <c r="F417" s="10">
        <v>1</v>
      </c>
      <c r="G417" s="3">
        <f>0.22*F417</f>
        <v>0.22</v>
      </c>
      <c r="H417" s="3">
        <f>0.000934444*F417</f>
        <v>9.3444399999999999E-4</v>
      </c>
      <c r="I417" s="3"/>
      <c r="J417" s="3" t="s">
        <v>299</v>
      </c>
    </row>
    <row r="418" spans="1:10" ht="46.9" hidden="1" customHeight="1">
      <c r="A418" s="7" t="s">
        <v>355</v>
      </c>
      <c r="B418" s="4">
        <v>3950041</v>
      </c>
      <c r="C418" s="3"/>
      <c r="D418" s="9" t="s">
        <v>689</v>
      </c>
      <c r="E418" s="4">
        <v>8</v>
      </c>
      <c r="F418" s="10"/>
      <c r="G418" s="3">
        <f>0.17*F418</f>
        <v>0</v>
      </c>
      <c r="H418" s="3">
        <f>0.000824688*F418</f>
        <v>0</v>
      </c>
      <c r="I418" s="3"/>
      <c r="J418" s="3" t="s">
        <v>299</v>
      </c>
    </row>
    <row r="419" spans="1:10" ht="46.9" hidden="1" customHeight="1">
      <c r="A419" s="7" t="s">
        <v>355</v>
      </c>
      <c r="B419" s="4">
        <v>3950043</v>
      </c>
      <c r="C419" s="3"/>
      <c r="D419" s="9" t="s">
        <v>690</v>
      </c>
      <c r="E419" s="4">
        <v>8</v>
      </c>
      <c r="F419" s="10"/>
      <c r="G419" s="3">
        <f>0.15*F419</f>
        <v>0</v>
      </c>
      <c r="H419" s="3">
        <f>0.000663*F419</f>
        <v>0</v>
      </c>
      <c r="I419" s="3"/>
      <c r="J419" s="3" t="s">
        <v>299</v>
      </c>
    </row>
    <row r="420" spans="1:10" ht="46.9" hidden="1" customHeight="1">
      <c r="A420" s="7" t="s">
        <v>355</v>
      </c>
      <c r="B420" s="4">
        <v>3950044</v>
      </c>
      <c r="C420" s="3"/>
      <c r="D420" s="9" t="s">
        <v>691</v>
      </c>
      <c r="E420" s="4">
        <v>8</v>
      </c>
      <c r="F420" s="10"/>
      <c r="G420" s="3">
        <f>0.13*F420</f>
        <v>0</v>
      </c>
      <c r="H420" s="3">
        <f>0.000663*F420</f>
        <v>0</v>
      </c>
      <c r="I420" s="3"/>
      <c r="J420" s="3" t="s">
        <v>299</v>
      </c>
    </row>
    <row r="421" spans="1:10" ht="46.9" customHeight="1">
      <c r="A421" s="7" t="s">
        <v>355</v>
      </c>
      <c r="B421" s="4">
        <v>3950045</v>
      </c>
      <c r="C421" s="3"/>
      <c r="D421" s="9" t="s">
        <v>692</v>
      </c>
      <c r="E421" s="4">
        <v>8</v>
      </c>
      <c r="F421" s="10">
        <v>1</v>
      </c>
      <c r="G421" s="3">
        <f>0.12*F421</f>
        <v>0.12</v>
      </c>
      <c r="H421" s="3">
        <f>0.000552*F421</f>
        <v>5.5199999999999997E-4</v>
      </c>
      <c r="I421" s="3"/>
      <c r="J421" s="3" t="s">
        <v>299</v>
      </c>
    </row>
    <row r="422" spans="1:10" ht="46.9" hidden="1" customHeight="1">
      <c r="A422" s="7" t="s">
        <v>355</v>
      </c>
      <c r="B422" s="4">
        <v>3950046</v>
      </c>
      <c r="C422" s="3"/>
      <c r="D422" s="9" t="s">
        <v>693</v>
      </c>
      <c r="E422" s="4">
        <v>12</v>
      </c>
      <c r="F422" s="10"/>
      <c r="G422" s="3">
        <f>0.33*F422</f>
        <v>0</v>
      </c>
      <c r="H422" s="3">
        <f>0.001224*F422</f>
        <v>0</v>
      </c>
      <c r="I422" s="3"/>
      <c r="J422" s="3" t="s">
        <v>299</v>
      </c>
    </row>
    <row r="423" spans="1:10" ht="46.9" hidden="1" customHeight="1">
      <c r="A423" s="7" t="s">
        <v>355</v>
      </c>
      <c r="B423" s="4">
        <v>3950050</v>
      </c>
      <c r="C423" s="3"/>
      <c r="D423" s="9" t="s">
        <v>694</v>
      </c>
      <c r="E423" s="4">
        <v>8</v>
      </c>
      <c r="F423" s="10"/>
      <c r="G423" s="3">
        <f>0.11*F423</f>
        <v>0</v>
      </c>
      <c r="H423" s="3">
        <f>0.000552*F423</f>
        <v>0</v>
      </c>
      <c r="I423" s="3"/>
      <c r="J423" s="3" t="s">
        <v>299</v>
      </c>
    </row>
    <row r="424" spans="1:10" ht="46.9" hidden="1" customHeight="1">
      <c r="A424" s="7" t="s">
        <v>355</v>
      </c>
      <c r="B424" s="4">
        <v>3950095</v>
      </c>
      <c r="C424" s="3"/>
      <c r="D424" s="9" t="s">
        <v>695</v>
      </c>
      <c r="E424" s="4">
        <v>12</v>
      </c>
      <c r="F424" s="10"/>
      <c r="G424" s="3">
        <f>0.34*F424</f>
        <v>0</v>
      </c>
      <c r="H424" s="3">
        <f>0.001705083*F424</f>
        <v>0</v>
      </c>
      <c r="I424" s="3"/>
      <c r="J424" s="3" t="s">
        <v>299</v>
      </c>
    </row>
    <row r="425" spans="1:10" ht="46.9" hidden="1" customHeight="1">
      <c r="A425" s="7" t="s">
        <v>355</v>
      </c>
      <c r="B425" s="4">
        <v>3950025</v>
      </c>
      <c r="C425" s="3"/>
      <c r="D425" s="9" t="s">
        <v>696</v>
      </c>
      <c r="E425" s="4">
        <v>36</v>
      </c>
      <c r="F425" s="10"/>
      <c r="G425" s="3">
        <f>0.34*F425</f>
        <v>0</v>
      </c>
      <c r="H425" s="3">
        <f>0.002020333*F425</f>
        <v>0</v>
      </c>
      <c r="I425" s="3"/>
      <c r="J425" s="3" t="s">
        <v>299</v>
      </c>
    </row>
    <row r="426" spans="1:10" ht="46.9" hidden="1" customHeight="1">
      <c r="A426" s="7" t="s">
        <v>360</v>
      </c>
      <c r="B426" s="4">
        <v>2800355</v>
      </c>
      <c r="C426" s="3"/>
      <c r="D426" s="9" t="s">
        <v>697</v>
      </c>
      <c r="E426" s="4">
        <v>6</v>
      </c>
      <c r="F426" s="10"/>
      <c r="G426" s="3">
        <f>0.11*F426</f>
        <v>0</v>
      </c>
      <c r="H426" s="3">
        <f>0.000337556*F426</f>
        <v>0</v>
      </c>
      <c r="I426" s="3"/>
      <c r="J426" s="3" t="s">
        <v>299</v>
      </c>
    </row>
    <row r="427" spans="1:10" ht="46.9" customHeight="1">
      <c r="A427" s="7" t="s">
        <v>360</v>
      </c>
      <c r="B427" s="4">
        <v>2800379</v>
      </c>
      <c r="C427" s="3"/>
      <c r="D427" s="9" t="s">
        <v>698</v>
      </c>
      <c r="E427" s="4">
        <v>6</v>
      </c>
      <c r="F427" s="10">
        <v>1</v>
      </c>
      <c r="G427" s="3">
        <f>0.28*F427</f>
        <v>0.28000000000000003</v>
      </c>
      <c r="H427" s="3">
        <f>0.00062475*F427</f>
        <v>6.2474999999999998E-4</v>
      </c>
      <c r="I427" s="3"/>
      <c r="J427" s="3" t="s">
        <v>299</v>
      </c>
    </row>
    <row r="428" spans="1:10" ht="46.9" customHeight="1">
      <c r="A428" s="7" t="s">
        <v>360</v>
      </c>
      <c r="B428" s="4">
        <v>2800386</v>
      </c>
      <c r="C428" s="3"/>
      <c r="D428" s="9" t="s">
        <v>699</v>
      </c>
      <c r="E428" s="4">
        <v>6</v>
      </c>
      <c r="F428" s="10">
        <v>1</v>
      </c>
      <c r="G428" s="3">
        <f>0.19*F428</f>
        <v>0.19</v>
      </c>
      <c r="H428" s="3">
        <f>0.000490344*F428</f>
        <v>4.9034399999999998E-4</v>
      </c>
      <c r="I428" s="3"/>
      <c r="J428" s="3" t="s">
        <v>299</v>
      </c>
    </row>
    <row r="429" spans="1:10" ht="46.9" customHeight="1">
      <c r="A429" s="7" t="s">
        <v>355</v>
      </c>
      <c r="B429" s="4">
        <v>2800393</v>
      </c>
      <c r="C429" s="3"/>
      <c r="D429" s="9" t="s">
        <v>700</v>
      </c>
      <c r="E429" s="4">
        <v>6</v>
      </c>
      <c r="F429" s="10">
        <v>1</v>
      </c>
      <c r="G429" s="3">
        <f>0.2*F429</f>
        <v>0.2</v>
      </c>
      <c r="H429" s="3">
        <f>0.000483438*F429</f>
        <v>4.8343799999999999E-4</v>
      </c>
      <c r="I429" s="3"/>
      <c r="J429" s="3" t="s">
        <v>299</v>
      </c>
    </row>
    <row r="430" spans="1:10" ht="46.9" hidden="1" customHeight="1">
      <c r="A430" s="7" t="s">
        <v>355</v>
      </c>
      <c r="B430" s="4">
        <v>2801420</v>
      </c>
      <c r="C430" s="3"/>
      <c r="D430" s="9" t="s">
        <v>701</v>
      </c>
      <c r="E430" s="4">
        <v>10</v>
      </c>
      <c r="F430" s="10"/>
      <c r="G430" s="3">
        <f>0.21*F430</f>
        <v>0</v>
      </c>
      <c r="H430" s="3">
        <f>0.0006622*F430</f>
        <v>0</v>
      </c>
      <c r="I430" s="3"/>
      <c r="J430" s="3" t="s">
        <v>299</v>
      </c>
    </row>
    <row r="431" spans="1:10" ht="46.9" hidden="1" customHeight="1">
      <c r="A431" s="7" t="s">
        <v>355</v>
      </c>
      <c r="B431" s="4">
        <v>2801437</v>
      </c>
      <c r="C431" s="3"/>
      <c r="D431" s="9" t="s">
        <v>702</v>
      </c>
      <c r="E431" s="4">
        <v>10</v>
      </c>
      <c r="F431" s="10"/>
      <c r="G431" s="3">
        <f>0.18*F431</f>
        <v>0</v>
      </c>
      <c r="H431" s="3">
        <f>0.000620813*F431</f>
        <v>0</v>
      </c>
      <c r="I431" s="3"/>
      <c r="J431" s="3" t="s">
        <v>299</v>
      </c>
    </row>
    <row r="432" spans="1:10" ht="46.9" hidden="1" customHeight="1">
      <c r="A432" s="7" t="s">
        <v>355</v>
      </c>
      <c r="B432" s="4">
        <v>1301080</v>
      </c>
      <c r="C432" s="3"/>
      <c r="D432" s="9" t="s">
        <v>703</v>
      </c>
      <c r="E432" s="4">
        <v>10</v>
      </c>
      <c r="F432" s="10"/>
      <c r="G432" s="3">
        <f>0.08*F432</f>
        <v>0</v>
      </c>
      <c r="H432" s="3">
        <f>0.000279*F432</f>
        <v>0</v>
      </c>
      <c r="I432" s="3"/>
      <c r="J432" s="3" t="s">
        <v>299</v>
      </c>
    </row>
    <row r="433" spans="1:10" ht="46.9" customHeight="1">
      <c r="A433" s="7" t="s">
        <v>355</v>
      </c>
      <c r="B433" s="4">
        <v>1301087</v>
      </c>
      <c r="C433" s="3"/>
      <c r="D433" s="9" t="s">
        <v>704</v>
      </c>
      <c r="E433" s="4">
        <v>10</v>
      </c>
      <c r="F433" s="10">
        <v>1</v>
      </c>
      <c r="G433" s="3">
        <f>0.16*F433</f>
        <v>0.16</v>
      </c>
      <c r="H433" s="3">
        <f>0.00059535*F433</f>
        <v>5.9535000000000002E-4</v>
      </c>
      <c r="I433" s="3"/>
      <c r="J433" s="3" t="s">
        <v>299</v>
      </c>
    </row>
    <row r="434" spans="1:10" ht="46.9" hidden="1" customHeight="1">
      <c r="A434" s="7" t="s">
        <v>355</v>
      </c>
      <c r="B434" s="4">
        <v>2801468</v>
      </c>
      <c r="C434" s="3"/>
      <c r="D434" s="9" t="s">
        <v>705</v>
      </c>
      <c r="E434" s="4">
        <v>10</v>
      </c>
      <c r="F434" s="10"/>
      <c r="G434" s="3">
        <f>0.09*F434</f>
        <v>0</v>
      </c>
      <c r="H434" s="3">
        <f>0.0003224*F434</f>
        <v>0</v>
      </c>
      <c r="I434" s="3"/>
      <c r="J434" s="3" t="s">
        <v>299</v>
      </c>
    </row>
    <row r="435" spans="1:10" ht="46.9" hidden="1" customHeight="1">
      <c r="A435" s="7" t="s">
        <v>355</v>
      </c>
      <c r="B435" s="4">
        <v>1301079</v>
      </c>
      <c r="C435" s="3"/>
      <c r="D435" s="9" t="s">
        <v>706</v>
      </c>
      <c r="E435" s="4">
        <v>10</v>
      </c>
      <c r="F435" s="10"/>
      <c r="G435" s="3">
        <f>0.17*F435</f>
        <v>0</v>
      </c>
      <c r="H435" s="3">
        <f>0.00059535*F435</f>
        <v>0</v>
      </c>
      <c r="I435" s="3"/>
      <c r="J435" s="3" t="s">
        <v>299</v>
      </c>
    </row>
    <row r="436" spans="1:10" ht="46.9" hidden="1" customHeight="1">
      <c r="A436" s="7" t="s">
        <v>355</v>
      </c>
      <c r="B436" s="4">
        <v>1301090</v>
      </c>
      <c r="C436" s="3"/>
      <c r="D436" s="9" t="s">
        <v>707</v>
      </c>
      <c r="E436" s="4">
        <v>20</v>
      </c>
      <c r="F436" s="10"/>
      <c r="G436" s="3">
        <f>0.36*F436</f>
        <v>0</v>
      </c>
      <c r="H436" s="3">
        <f>0.0015652*F436</f>
        <v>0</v>
      </c>
      <c r="I436" s="3"/>
      <c r="J436" s="3" t="s">
        <v>299</v>
      </c>
    </row>
    <row r="437" spans="1:10" ht="46.9" hidden="1" customHeight="1">
      <c r="A437" s="7" t="s">
        <v>355</v>
      </c>
      <c r="B437" s="4">
        <v>1301074</v>
      </c>
      <c r="C437" s="3"/>
      <c r="D437" s="9" t="s">
        <v>708</v>
      </c>
      <c r="E437" s="4">
        <v>6</v>
      </c>
      <c r="F437" s="10"/>
      <c r="G437" s="3">
        <f>0.11*F437</f>
        <v>0</v>
      </c>
      <c r="H437" s="3">
        <f>0.000320333*F437</f>
        <v>0</v>
      </c>
      <c r="I437" s="3"/>
      <c r="J437" s="3" t="s">
        <v>299</v>
      </c>
    </row>
    <row r="438" spans="1:10" ht="46.9" hidden="1" customHeight="1">
      <c r="A438" s="7" t="s">
        <v>355</v>
      </c>
      <c r="B438" s="4">
        <v>1301076</v>
      </c>
      <c r="C438" s="3"/>
      <c r="D438" s="9" t="s">
        <v>709</v>
      </c>
      <c r="E438" s="4">
        <v>6</v>
      </c>
      <c r="F438" s="10"/>
      <c r="G438" s="3">
        <f>0.11*F438</f>
        <v>0</v>
      </c>
      <c r="H438" s="3">
        <f>0.000320333*F438</f>
        <v>0</v>
      </c>
      <c r="I438" s="3"/>
      <c r="J438" s="3" t="s">
        <v>299</v>
      </c>
    </row>
    <row r="439" spans="1:10" ht="46.9" hidden="1" customHeight="1">
      <c r="A439" s="7" t="s">
        <v>355</v>
      </c>
      <c r="B439" s="4">
        <v>3900019</v>
      </c>
      <c r="C439" s="3"/>
      <c r="D439" s="9" t="s">
        <v>710</v>
      </c>
      <c r="E439" s="4">
        <v>12</v>
      </c>
      <c r="F439" s="10"/>
      <c r="G439" s="3">
        <f>0.36*F439</f>
        <v>0</v>
      </c>
      <c r="H439" s="3">
        <f>0.000891*F439</f>
        <v>0</v>
      </c>
      <c r="I439" s="3"/>
      <c r="J439" s="3" t="s">
        <v>299</v>
      </c>
    </row>
    <row r="440" spans="1:10" ht="46.9" hidden="1" customHeight="1">
      <c r="A440" s="7" t="s">
        <v>355</v>
      </c>
      <c r="B440" s="4">
        <v>3900020</v>
      </c>
      <c r="C440" s="3"/>
      <c r="D440" s="9" t="s">
        <v>711</v>
      </c>
      <c r="E440" s="4">
        <v>12</v>
      </c>
      <c r="F440" s="10"/>
      <c r="G440" s="3">
        <f>0.46*F440</f>
        <v>0</v>
      </c>
      <c r="H440" s="3">
        <f>0.001107*F440</f>
        <v>0</v>
      </c>
      <c r="I440" s="3"/>
      <c r="J440" s="3" t="s">
        <v>299</v>
      </c>
    </row>
    <row r="441" spans="1:10" ht="46.9" hidden="1" customHeight="1">
      <c r="A441" s="7" t="s">
        <v>360</v>
      </c>
      <c r="B441" s="4">
        <v>3900021</v>
      </c>
      <c r="C441" s="3"/>
      <c r="D441" s="9" t="s">
        <v>712</v>
      </c>
      <c r="E441" s="4">
        <v>24</v>
      </c>
      <c r="F441" s="10"/>
      <c r="G441" s="3">
        <f>0.54*F441</f>
        <v>0</v>
      </c>
      <c r="H441" s="3">
        <f>0.001161563*F441</f>
        <v>0</v>
      </c>
      <c r="I441" s="3"/>
      <c r="J441" s="3" t="s">
        <v>299</v>
      </c>
    </row>
    <row r="442" spans="1:10" ht="46.9" hidden="1" customHeight="1">
      <c r="A442" s="7" t="s">
        <v>360</v>
      </c>
      <c r="B442" s="4">
        <v>3950117</v>
      </c>
      <c r="C442" s="3"/>
      <c r="D442" s="9" t="s">
        <v>713</v>
      </c>
      <c r="E442" s="4">
        <v>12</v>
      </c>
      <c r="F442" s="10"/>
      <c r="G442" s="3">
        <f>1.25*F442</f>
        <v>0</v>
      </c>
      <c r="H442" s="3">
        <f>0.005741667*F442</f>
        <v>0</v>
      </c>
      <c r="I442" s="3"/>
      <c r="J442" s="3" t="s">
        <v>299</v>
      </c>
    </row>
    <row r="443" spans="1:10" ht="46.9" hidden="1" customHeight="1">
      <c r="A443" s="7" t="s">
        <v>360</v>
      </c>
      <c r="B443" s="4">
        <v>3900062</v>
      </c>
      <c r="C443" s="3"/>
      <c r="D443" s="9" t="s">
        <v>714</v>
      </c>
      <c r="E443" s="4">
        <v>5</v>
      </c>
      <c r="F443" s="10"/>
      <c r="G443" s="3">
        <f>2.4*F443</f>
        <v>0</v>
      </c>
      <c r="H443" s="3">
        <f>0.005698925*F443</f>
        <v>0</v>
      </c>
      <c r="I443" s="3"/>
      <c r="J443" s="3" t="s">
        <v>299</v>
      </c>
    </row>
    <row r="444" spans="1:10" ht="46.9" hidden="1" customHeight="1">
      <c r="A444" s="7" t="s">
        <v>360</v>
      </c>
      <c r="B444" s="4">
        <v>3950000</v>
      </c>
      <c r="C444" s="3"/>
      <c r="D444" s="9" t="s">
        <v>715</v>
      </c>
      <c r="E444" s="4">
        <v>12</v>
      </c>
      <c r="F444" s="10"/>
      <c r="G444" s="3">
        <f>1.19*F444</f>
        <v>0</v>
      </c>
      <c r="H444" s="3">
        <f>0.007163583*F444</f>
        <v>0</v>
      </c>
      <c r="I444" s="3"/>
      <c r="J444" s="3" t="s">
        <v>299</v>
      </c>
    </row>
    <row r="445" spans="1:10" ht="46.9" hidden="1" customHeight="1">
      <c r="A445" s="7" t="s">
        <v>360</v>
      </c>
      <c r="B445" s="4">
        <v>1301785</v>
      </c>
      <c r="C445" s="3"/>
      <c r="D445" s="9" t="s">
        <v>716</v>
      </c>
      <c r="E445" s="4">
        <v>24</v>
      </c>
      <c r="F445" s="10"/>
      <c r="G445" s="3">
        <f>0.48*F445</f>
        <v>0</v>
      </c>
      <c r="H445" s="3">
        <f>0.001715*F445</f>
        <v>0</v>
      </c>
      <c r="I445" s="3"/>
      <c r="J445" s="3" t="s">
        <v>299</v>
      </c>
    </row>
    <row r="446" spans="1:10" ht="46.9" hidden="1" customHeight="1">
      <c r="A446" s="7" t="s">
        <v>360</v>
      </c>
      <c r="B446" s="4">
        <v>1399874</v>
      </c>
      <c r="C446" s="3"/>
      <c r="D446" s="9" t="s">
        <v>717</v>
      </c>
      <c r="E446" s="4">
        <v>12</v>
      </c>
      <c r="F446" s="10"/>
      <c r="G446" s="3">
        <f>0.46*F446</f>
        <v>0</v>
      </c>
      <c r="H446" s="3">
        <f>0.00197925*F446</f>
        <v>0</v>
      </c>
      <c r="I446" s="3"/>
      <c r="J446" s="3" t="s">
        <v>299</v>
      </c>
    </row>
    <row r="447" spans="1:10" ht="46.9" hidden="1" customHeight="1">
      <c r="A447" s="7" t="s">
        <v>355</v>
      </c>
      <c r="B447" s="4">
        <v>3900065</v>
      </c>
      <c r="C447" s="3"/>
      <c r="D447" s="9" t="s">
        <v>718</v>
      </c>
      <c r="E447" s="4">
        <v>6</v>
      </c>
      <c r="F447" s="10"/>
      <c r="G447" s="3">
        <f>0.44*F447</f>
        <v>0</v>
      </c>
      <c r="H447" s="3">
        <f>0.001175333*F447</f>
        <v>0</v>
      </c>
      <c r="I447" s="3"/>
      <c r="J447" s="3" t="s">
        <v>299</v>
      </c>
    </row>
    <row r="448" spans="1:10" ht="46.9" customHeight="1">
      <c r="A448" s="7" t="s">
        <v>360</v>
      </c>
      <c r="B448" s="4">
        <v>1100033</v>
      </c>
      <c r="C448" s="3"/>
      <c r="D448" s="9" t="s">
        <v>719</v>
      </c>
      <c r="E448" s="4">
        <v>32</v>
      </c>
      <c r="F448" s="10">
        <v>2</v>
      </c>
      <c r="G448" s="3">
        <f>0.28*F448</f>
        <v>0.56000000000000005</v>
      </c>
      <c r="H448" s="3">
        <f>0.0011385*F448</f>
        <v>2.2769999999999999E-3</v>
      </c>
      <c r="I448" s="3"/>
      <c r="J448" s="3" t="s">
        <v>299</v>
      </c>
    </row>
    <row r="449" spans="1:10" ht="18.75" hidden="1">
      <c r="A449" s="6"/>
      <c r="B449" s="19" t="s">
        <v>720</v>
      </c>
      <c r="C449" s="20"/>
      <c r="D449" s="20"/>
      <c r="E449" s="20"/>
      <c r="F449" s="20"/>
      <c r="G449" s="20"/>
      <c r="H449" s="20"/>
      <c r="I449" s="20"/>
      <c r="J449" s="21"/>
    </row>
    <row r="450" spans="1:10" ht="46.9" hidden="1" customHeight="1">
      <c r="A450" s="7" t="s">
        <v>355</v>
      </c>
      <c r="B450" s="4">
        <v>1204030</v>
      </c>
      <c r="C450" s="3"/>
      <c r="D450" s="9" t="s">
        <v>721</v>
      </c>
      <c r="E450" s="4">
        <v>20</v>
      </c>
      <c r="F450" s="10"/>
      <c r="G450" s="3">
        <f>0.25*F450</f>
        <v>0</v>
      </c>
      <c r="H450" s="3">
        <f>0.0008525*F450</f>
        <v>0</v>
      </c>
      <c r="I450" s="3"/>
      <c r="J450" s="3" t="s">
        <v>299</v>
      </c>
    </row>
    <row r="451" spans="1:10" ht="46.9" hidden="1" customHeight="1">
      <c r="A451" s="7" t="s">
        <v>355</v>
      </c>
      <c r="B451" s="4">
        <v>1204031</v>
      </c>
      <c r="C451" s="3"/>
      <c r="D451" s="9" t="s">
        <v>722</v>
      </c>
      <c r="E451" s="4">
        <v>20</v>
      </c>
      <c r="F451" s="10"/>
      <c r="G451" s="3">
        <f>0.25*F451</f>
        <v>0</v>
      </c>
      <c r="H451" s="3">
        <f>0.0008525*F451</f>
        <v>0</v>
      </c>
      <c r="I451" s="3"/>
      <c r="J451" s="3" t="s">
        <v>299</v>
      </c>
    </row>
    <row r="452" spans="1:10" ht="46.9" hidden="1" customHeight="1">
      <c r="A452" s="7" t="s">
        <v>355</v>
      </c>
      <c r="B452" s="4">
        <v>1204032</v>
      </c>
      <c r="C452" s="3"/>
      <c r="D452" s="9" t="s">
        <v>723</v>
      </c>
      <c r="E452" s="4">
        <v>20</v>
      </c>
      <c r="F452" s="10"/>
      <c r="G452" s="3">
        <f>0.27*F452</f>
        <v>0</v>
      </c>
      <c r="H452" s="3">
        <f>0.0008525*F452</f>
        <v>0</v>
      </c>
      <c r="I452" s="3"/>
      <c r="J452" s="3" t="s">
        <v>299</v>
      </c>
    </row>
    <row r="453" spans="1:10" ht="46.9" hidden="1" customHeight="1">
      <c r="A453" s="7" t="s">
        <v>355</v>
      </c>
      <c r="B453" s="4">
        <v>8500209</v>
      </c>
      <c r="C453" s="3"/>
      <c r="D453" s="9" t="s">
        <v>724</v>
      </c>
      <c r="E453" s="4">
        <v>20</v>
      </c>
      <c r="F453" s="10"/>
      <c r="G453" s="3">
        <f>0.25*F453</f>
        <v>0</v>
      </c>
      <c r="H453" s="3">
        <f>0.000914063*F453</f>
        <v>0</v>
      </c>
      <c r="I453" s="3"/>
      <c r="J453" s="3" t="s">
        <v>299</v>
      </c>
    </row>
    <row r="454" spans="1:10" ht="46.9" hidden="1" customHeight="1">
      <c r="A454" s="7" t="s">
        <v>360</v>
      </c>
      <c r="B454" s="4">
        <v>1224009</v>
      </c>
      <c r="C454" s="3"/>
      <c r="D454" s="9" t="s">
        <v>725</v>
      </c>
      <c r="E454" s="4">
        <v>4</v>
      </c>
      <c r="F454" s="10"/>
      <c r="G454" s="3">
        <f>1.89*F454</f>
        <v>0</v>
      </c>
      <c r="H454" s="3">
        <f>0.006478*F454</f>
        <v>0</v>
      </c>
      <c r="I454" s="3"/>
      <c r="J454" s="3" t="s">
        <v>299</v>
      </c>
    </row>
    <row r="455" spans="1:10" ht="46.9" hidden="1" customHeight="1">
      <c r="A455" s="7" t="s">
        <v>360</v>
      </c>
      <c r="B455" s="4">
        <v>1224381</v>
      </c>
      <c r="C455" s="3"/>
      <c r="D455" s="9" t="s">
        <v>726</v>
      </c>
      <c r="E455" s="4">
        <v>4</v>
      </c>
      <c r="F455" s="10"/>
      <c r="G455" s="3">
        <f>2.12*F455</f>
        <v>0</v>
      </c>
      <c r="H455" s="3">
        <f>0.007905*F455</f>
        <v>0</v>
      </c>
      <c r="I455" s="3"/>
      <c r="J455" s="3" t="s">
        <v>299</v>
      </c>
    </row>
    <row r="456" spans="1:10" ht="46.9" hidden="1" customHeight="1">
      <c r="A456" s="7" t="s">
        <v>355</v>
      </c>
      <c r="B456" s="4">
        <v>1224718</v>
      </c>
      <c r="C456" s="3"/>
      <c r="D456" s="9" t="s">
        <v>727</v>
      </c>
      <c r="E456" s="4">
        <v>10</v>
      </c>
      <c r="F456" s="10"/>
      <c r="G456" s="3">
        <f>2.08*F456</f>
        <v>0</v>
      </c>
      <c r="H456" s="3">
        <f>0.003741717*F456</f>
        <v>0</v>
      </c>
      <c r="I456" s="3"/>
      <c r="J456" s="3" t="s">
        <v>299</v>
      </c>
    </row>
    <row r="457" spans="1:10" ht="46.9" hidden="1" customHeight="1">
      <c r="A457" s="7" t="s">
        <v>360</v>
      </c>
      <c r="B457" s="4">
        <v>1230500</v>
      </c>
      <c r="C457" s="3"/>
      <c r="D457" s="9" t="s">
        <v>728</v>
      </c>
      <c r="E457" s="4">
        <v>4</v>
      </c>
      <c r="F457" s="10"/>
      <c r="G457" s="3">
        <f>2.59*F457</f>
        <v>0</v>
      </c>
      <c r="H457" s="3">
        <f t="shared" ref="H457:H462" si="0">0.011025*F457</f>
        <v>0</v>
      </c>
      <c r="I457" s="3"/>
      <c r="J457" s="3" t="s">
        <v>299</v>
      </c>
    </row>
    <row r="458" spans="1:10" ht="46.9" hidden="1" customHeight="1">
      <c r="A458" s="7" t="s">
        <v>355</v>
      </c>
      <c r="B458" s="4">
        <v>1230501</v>
      </c>
      <c r="C458" s="3"/>
      <c r="D458" s="9" t="s">
        <v>729</v>
      </c>
      <c r="E458" s="4">
        <v>4</v>
      </c>
      <c r="F458" s="10"/>
      <c r="G458" s="3">
        <f>2.77*F458</f>
        <v>0</v>
      </c>
      <c r="H458" s="3">
        <f t="shared" si="0"/>
        <v>0</v>
      </c>
      <c r="I458" s="3"/>
      <c r="J458" s="3" t="s">
        <v>299</v>
      </c>
    </row>
    <row r="459" spans="1:10" ht="46.9" hidden="1" customHeight="1">
      <c r="A459" s="7" t="s">
        <v>360</v>
      </c>
      <c r="B459" s="4">
        <v>1230502</v>
      </c>
      <c r="C459" s="3"/>
      <c r="D459" s="9" t="s">
        <v>730</v>
      </c>
      <c r="E459" s="4">
        <v>4</v>
      </c>
      <c r="F459" s="10"/>
      <c r="G459" s="3">
        <f>2.83*F459</f>
        <v>0</v>
      </c>
      <c r="H459" s="3">
        <f t="shared" si="0"/>
        <v>0</v>
      </c>
      <c r="I459" s="3"/>
      <c r="J459" s="3" t="s">
        <v>299</v>
      </c>
    </row>
    <row r="460" spans="1:10" ht="46.9" hidden="1" customHeight="1">
      <c r="A460" s="7" t="s">
        <v>360</v>
      </c>
      <c r="B460" s="4">
        <v>1230503</v>
      </c>
      <c r="C460" s="3"/>
      <c r="D460" s="9" t="s">
        <v>731</v>
      </c>
      <c r="E460" s="4">
        <v>4</v>
      </c>
      <c r="F460" s="10"/>
      <c r="G460" s="3">
        <f>3.04*F460</f>
        <v>0</v>
      </c>
      <c r="H460" s="3">
        <f t="shared" si="0"/>
        <v>0</v>
      </c>
      <c r="I460" s="3"/>
      <c r="J460" s="3" t="s">
        <v>299</v>
      </c>
    </row>
    <row r="461" spans="1:10" ht="46.9" hidden="1" customHeight="1">
      <c r="A461" s="7" t="s">
        <v>360</v>
      </c>
      <c r="B461" s="4">
        <v>1230504</v>
      </c>
      <c r="C461" s="3"/>
      <c r="D461" s="9" t="s">
        <v>732</v>
      </c>
      <c r="E461" s="4">
        <v>4</v>
      </c>
      <c r="F461" s="10"/>
      <c r="G461" s="3">
        <f>2.76*F461</f>
        <v>0</v>
      </c>
      <c r="H461" s="3">
        <f t="shared" si="0"/>
        <v>0</v>
      </c>
      <c r="I461" s="3"/>
      <c r="J461" s="3" t="s">
        <v>299</v>
      </c>
    </row>
    <row r="462" spans="1:10" ht="46.9" hidden="1" customHeight="1">
      <c r="A462" s="7" t="s">
        <v>360</v>
      </c>
      <c r="B462" s="4">
        <v>1230505</v>
      </c>
      <c r="C462" s="3"/>
      <c r="D462" s="9" t="s">
        <v>733</v>
      </c>
      <c r="E462" s="4">
        <v>4</v>
      </c>
      <c r="F462" s="10"/>
      <c r="G462" s="3">
        <f>2.72*F462</f>
        <v>0</v>
      </c>
      <c r="H462" s="3">
        <f t="shared" si="0"/>
        <v>0</v>
      </c>
      <c r="I462" s="3"/>
      <c r="J462" s="3" t="s">
        <v>299</v>
      </c>
    </row>
    <row r="463" spans="1:10" ht="46.9" hidden="1" customHeight="1">
      <c r="A463" s="7" t="s">
        <v>360</v>
      </c>
      <c r="B463" s="4">
        <v>1272605</v>
      </c>
      <c r="C463" s="3"/>
      <c r="D463" s="9" t="s">
        <v>734</v>
      </c>
      <c r="E463" s="4">
        <v>2</v>
      </c>
      <c r="F463" s="10"/>
      <c r="G463" s="3">
        <f>6.25*F463</f>
        <v>0</v>
      </c>
      <c r="H463" s="3">
        <f>0.018770625*F463</f>
        <v>0</v>
      </c>
      <c r="I463" s="3"/>
      <c r="J463" s="3" t="s">
        <v>299</v>
      </c>
    </row>
    <row r="464" spans="1:10" ht="46.9" hidden="1" customHeight="1">
      <c r="A464" s="7" t="s">
        <v>360</v>
      </c>
      <c r="B464" s="4">
        <v>1272606</v>
      </c>
      <c r="C464" s="3"/>
      <c r="D464" s="9" t="s">
        <v>735</v>
      </c>
      <c r="E464" s="4">
        <v>2</v>
      </c>
      <c r="F464" s="10"/>
      <c r="G464" s="3">
        <f>6.65*F464</f>
        <v>0</v>
      </c>
      <c r="H464" s="3">
        <f>0.018095*F464</f>
        <v>0</v>
      </c>
      <c r="I464" s="3"/>
      <c r="J464" s="3" t="s">
        <v>299</v>
      </c>
    </row>
    <row r="465" spans="1:10" ht="46.9" hidden="1" customHeight="1">
      <c r="A465" s="7" t="s">
        <v>360</v>
      </c>
      <c r="B465" s="4">
        <v>1272607</v>
      </c>
      <c r="C465" s="3"/>
      <c r="D465" s="9" t="s">
        <v>736</v>
      </c>
      <c r="E465" s="4">
        <v>2</v>
      </c>
      <c r="F465" s="10"/>
      <c r="G465" s="3">
        <f>6.95*F465</f>
        <v>0</v>
      </c>
      <c r="H465" s="3">
        <f>0.018095*F465</f>
        <v>0</v>
      </c>
      <c r="I465" s="3"/>
      <c r="J465" s="3" t="s">
        <v>299</v>
      </c>
    </row>
    <row r="466" spans="1:10" ht="46.9" hidden="1" customHeight="1">
      <c r="A466" s="7" t="s">
        <v>360</v>
      </c>
      <c r="B466" s="4">
        <v>1272608</v>
      </c>
      <c r="C466" s="3"/>
      <c r="D466" s="9" t="s">
        <v>737</v>
      </c>
      <c r="E466" s="4">
        <v>2</v>
      </c>
      <c r="F466" s="10"/>
      <c r="G466" s="3">
        <f>6.85*F466</f>
        <v>0</v>
      </c>
      <c r="H466" s="3">
        <f>0.018095*F466</f>
        <v>0</v>
      </c>
      <c r="I466" s="3"/>
      <c r="J466" s="3" t="s">
        <v>299</v>
      </c>
    </row>
    <row r="467" spans="1:10" ht="46.9" hidden="1" customHeight="1">
      <c r="A467" s="7" t="s">
        <v>360</v>
      </c>
      <c r="B467" s="4">
        <v>1272609</v>
      </c>
      <c r="C467" s="3"/>
      <c r="D467" s="9" t="s">
        <v>738</v>
      </c>
      <c r="E467" s="4">
        <v>2</v>
      </c>
      <c r="F467" s="10"/>
      <c r="G467" s="3">
        <f>7.3*F467</f>
        <v>0</v>
      </c>
      <c r="H467" s="3">
        <f>0.018095*F467</f>
        <v>0</v>
      </c>
      <c r="I467" s="3"/>
      <c r="J467" s="3" t="s">
        <v>299</v>
      </c>
    </row>
    <row r="468" spans="1:10" ht="46.9" hidden="1" customHeight="1">
      <c r="A468" s="7" t="s">
        <v>355</v>
      </c>
      <c r="B468" s="4">
        <v>1272611</v>
      </c>
      <c r="C468" s="3"/>
      <c r="D468" s="9" t="s">
        <v>739</v>
      </c>
      <c r="E468" s="4">
        <v>2</v>
      </c>
      <c r="F468" s="10"/>
      <c r="G468" s="3">
        <f>6.8*F468</f>
        <v>0</v>
      </c>
      <c r="H468" s="3">
        <f>0.018095*F468</f>
        <v>0</v>
      </c>
      <c r="I468" s="3"/>
      <c r="J468" s="3" t="s">
        <v>299</v>
      </c>
    </row>
    <row r="469" spans="1:10" ht="46.9" hidden="1" customHeight="1">
      <c r="A469" s="7" t="s">
        <v>355</v>
      </c>
      <c r="B469" s="4">
        <v>2303627</v>
      </c>
      <c r="C469" s="3"/>
      <c r="D469" s="9" t="s">
        <v>740</v>
      </c>
      <c r="E469" s="4">
        <v>4</v>
      </c>
      <c r="F469" s="10"/>
      <c r="G469" s="3">
        <f>2.3*F469</f>
        <v>0</v>
      </c>
      <c r="H469" s="3">
        <f>0.007809375*F469</f>
        <v>0</v>
      </c>
      <c r="I469" s="3"/>
      <c r="J469" s="3" t="s">
        <v>299</v>
      </c>
    </row>
    <row r="470" spans="1:10" ht="46.9" hidden="1" customHeight="1">
      <c r="A470" s="7" t="s">
        <v>355</v>
      </c>
      <c r="B470" s="4">
        <v>3501213</v>
      </c>
      <c r="C470" s="3"/>
      <c r="D470" s="9" t="s">
        <v>741</v>
      </c>
      <c r="E470" s="4">
        <v>4</v>
      </c>
      <c r="F470" s="10"/>
      <c r="G470" s="3">
        <f>2.95*F470</f>
        <v>0</v>
      </c>
      <c r="H470" s="3">
        <f>0.00873425*F470</f>
        <v>0</v>
      </c>
      <c r="I470" s="3"/>
      <c r="J470" s="3" t="s">
        <v>299</v>
      </c>
    </row>
    <row r="471" spans="1:10" ht="46.9" hidden="1" customHeight="1">
      <c r="A471" s="7" t="s">
        <v>355</v>
      </c>
      <c r="B471" s="4">
        <v>3700026</v>
      </c>
      <c r="C471" s="3"/>
      <c r="D471" s="9" t="s">
        <v>742</v>
      </c>
      <c r="E471" s="4">
        <v>6</v>
      </c>
      <c r="F471" s="10"/>
      <c r="G471" s="3">
        <f>1.01*F471</f>
        <v>0</v>
      </c>
      <c r="H471" s="3">
        <f>0.003673333*F471</f>
        <v>0</v>
      </c>
      <c r="I471" s="3"/>
      <c r="J471" s="3" t="s">
        <v>299</v>
      </c>
    </row>
    <row r="472" spans="1:10" ht="46.9" hidden="1" customHeight="1">
      <c r="A472" s="7" t="s">
        <v>355</v>
      </c>
      <c r="B472" s="4">
        <v>2800454</v>
      </c>
      <c r="C472" s="3"/>
      <c r="D472" s="9" t="s">
        <v>743</v>
      </c>
      <c r="E472" s="4">
        <v>4</v>
      </c>
      <c r="F472" s="10"/>
      <c r="G472" s="3">
        <f>2*F472</f>
        <v>0</v>
      </c>
      <c r="H472" s="3">
        <f>0.0070035*F472</f>
        <v>0</v>
      </c>
      <c r="I472" s="3"/>
      <c r="J472" s="3" t="s">
        <v>299</v>
      </c>
    </row>
    <row r="473" spans="1:10" ht="46.9" hidden="1" customHeight="1">
      <c r="A473" s="7" t="s">
        <v>355</v>
      </c>
      <c r="B473" s="4">
        <v>2800577</v>
      </c>
      <c r="C473" s="3"/>
      <c r="D473" s="9" t="s">
        <v>744</v>
      </c>
      <c r="E473" s="4">
        <v>8</v>
      </c>
      <c r="F473" s="10"/>
      <c r="G473" s="3">
        <f>1.27*F473</f>
        <v>0</v>
      </c>
      <c r="H473" s="3">
        <f>0.005084*F473</f>
        <v>0</v>
      </c>
      <c r="I473" s="3"/>
      <c r="J473" s="3" t="s">
        <v>299</v>
      </c>
    </row>
    <row r="474" spans="1:10" ht="46.9" hidden="1" customHeight="1">
      <c r="A474" s="7" t="s">
        <v>355</v>
      </c>
      <c r="B474" s="4">
        <v>8500219</v>
      </c>
      <c r="C474" s="3"/>
      <c r="D474" s="9" t="s">
        <v>745</v>
      </c>
      <c r="E474" s="4">
        <v>12</v>
      </c>
      <c r="F474" s="10"/>
      <c r="G474" s="3">
        <f>0.34*F474</f>
        <v>0</v>
      </c>
      <c r="H474" s="3">
        <f>0.001291927*F474</f>
        <v>0</v>
      </c>
      <c r="I474" s="3"/>
      <c r="J474" s="3" t="s">
        <v>299</v>
      </c>
    </row>
    <row r="475" spans="1:10" ht="46.9" hidden="1" customHeight="1">
      <c r="A475" s="7" t="s">
        <v>355</v>
      </c>
      <c r="B475" s="4">
        <v>1207001</v>
      </c>
      <c r="C475" s="3"/>
      <c r="D475" s="9" t="s">
        <v>746</v>
      </c>
      <c r="E475" s="4">
        <v>12</v>
      </c>
      <c r="F475" s="10"/>
      <c r="G475" s="3">
        <f>155.52*F475</f>
        <v>0</v>
      </c>
      <c r="H475" s="3">
        <f>0.252450432*F475</f>
        <v>0</v>
      </c>
      <c r="I475" s="3"/>
      <c r="J475" s="3" t="s">
        <v>299</v>
      </c>
    </row>
    <row r="476" spans="1:10" ht="46.9" hidden="1" customHeight="1">
      <c r="A476" s="7" t="s">
        <v>355</v>
      </c>
      <c r="B476" s="4">
        <v>1207018</v>
      </c>
      <c r="C476" s="3"/>
      <c r="D476" s="9" t="s">
        <v>747</v>
      </c>
      <c r="E476" s="4">
        <v>12</v>
      </c>
      <c r="F476" s="10"/>
      <c r="G476" s="3">
        <f>12.96*F476</f>
        <v>0</v>
      </c>
      <c r="H476" s="3">
        <f>0.021037536*F476</f>
        <v>0</v>
      </c>
      <c r="I476" s="3"/>
      <c r="J476" s="3" t="s">
        <v>299</v>
      </c>
    </row>
    <row r="477" spans="1:10" ht="46.9" hidden="1" customHeight="1">
      <c r="A477" s="7" t="s">
        <v>355</v>
      </c>
      <c r="B477" s="4">
        <v>1207025</v>
      </c>
      <c r="C477" s="3"/>
      <c r="D477" s="9" t="s">
        <v>748</v>
      </c>
      <c r="E477" s="4">
        <v>20</v>
      </c>
      <c r="F477" s="10"/>
      <c r="G477" s="3">
        <f>1.08*F477</f>
        <v>0</v>
      </c>
      <c r="H477" s="3">
        <f>0.001753128*F477</f>
        <v>0</v>
      </c>
      <c r="I477" s="3"/>
      <c r="J477" s="3" t="s">
        <v>299</v>
      </c>
    </row>
    <row r="478" spans="1:10" ht="46.9" hidden="1" customHeight="1">
      <c r="A478" s="7" t="s">
        <v>360</v>
      </c>
      <c r="B478" s="4">
        <v>1207117</v>
      </c>
      <c r="C478" s="3"/>
      <c r="D478" s="9" t="s">
        <v>749</v>
      </c>
      <c r="E478" s="4">
        <v>20</v>
      </c>
      <c r="F478" s="10"/>
      <c r="G478" s="3">
        <f>1.08*F478</f>
        <v>0</v>
      </c>
      <c r="H478" s="3">
        <f>0.001753128*F478</f>
        <v>0</v>
      </c>
      <c r="I478" s="3"/>
      <c r="J478" s="3" t="s">
        <v>299</v>
      </c>
    </row>
    <row r="479" spans="1:10" ht="46.9" hidden="1" customHeight="1">
      <c r="A479" s="7" t="s">
        <v>355</v>
      </c>
      <c r="B479" s="4">
        <v>1207162</v>
      </c>
      <c r="C479" s="3"/>
      <c r="D479" s="9" t="s">
        <v>750</v>
      </c>
      <c r="E479" s="4">
        <v>9</v>
      </c>
      <c r="F479" s="10"/>
      <c r="G479" s="3">
        <f>1.08*F479</f>
        <v>0</v>
      </c>
      <c r="H479" s="3">
        <f>0.001753128*F479</f>
        <v>0</v>
      </c>
      <c r="I479" s="3"/>
      <c r="J479" s="3" t="s">
        <v>299</v>
      </c>
    </row>
    <row r="480" spans="1:10" ht="46.9" hidden="1" customHeight="1">
      <c r="A480" s="7" t="s">
        <v>360</v>
      </c>
      <c r="B480" s="4">
        <v>1207254</v>
      </c>
      <c r="C480" s="3"/>
      <c r="D480" s="9" t="s">
        <v>751</v>
      </c>
      <c r="E480" s="4">
        <v>20</v>
      </c>
      <c r="F480" s="10"/>
      <c r="G480" s="3">
        <f>1.08*F480</f>
        <v>0</v>
      </c>
      <c r="H480" s="3">
        <f>0.001753128*F480</f>
        <v>0</v>
      </c>
      <c r="I480" s="3"/>
      <c r="J480" s="3" t="s">
        <v>299</v>
      </c>
    </row>
    <row r="481" spans="1:10" ht="46.9" hidden="1" customHeight="1">
      <c r="A481" s="7" t="s">
        <v>355</v>
      </c>
      <c r="B481" s="4">
        <v>1212000</v>
      </c>
      <c r="C481" s="3"/>
      <c r="D481" s="9" t="s">
        <v>752</v>
      </c>
      <c r="E481" s="4">
        <v>20</v>
      </c>
      <c r="F481" s="10"/>
      <c r="G481" s="3">
        <f>0.35*F481</f>
        <v>0</v>
      </c>
      <c r="H481" s="3">
        <f>0.0009261*F481</f>
        <v>0</v>
      </c>
      <c r="I481" s="3"/>
      <c r="J481" s="3" t="s">
        <v>299</v>
      </c>
    </row>
    <row r="482" spans="1:10" ht="46.9" hidden="1" customHeight="1">
      <c r="A482" s="7" t="s">
        <v>355</v>
      </c>
      <c r="B482" s="4">
        <v>1212001</v>
      </c>
      <c r="C482" s="3"/>
      <c r="D482" s="9" t="s">
        <v>753</v>
      </c>
      <c r="E482" s="4">
        <v>10</v>
      </c>
      <c r="F482" s="10"/>
      <c r="G482" s="3">
        <f>0*F482</f>
        <v>0</v>
      </c>
      <c r="H482" s="3">
        <f>0*F482</f>
        <v>0</v>
      </c>
      <c r="I482" s="3"/>
      <c r="J482" s="3" t="s">
        <v>299</v>
      </c>
    </row>
    <row r="483" spans="1:10" ht="46.9" hidden="1" customHeight="1">
      <c r="A483" s="7" t="s">
        <v>355</v>
      </c>
      <c r="B483" s="4">
        <v>1212002</v>
      </c>
      <c r="C483" s="3"/>
      <c r="D483" s="9" t="s">
        <v>754</v>
      </c>
      <c r="E483" s="4">
        <v>20</v>
      </c>
      <c r="F483" s="10"/>
      <c r="G483" s="3">
        <f>0*F483</f>
        <v>0</v>
      </c>
      <c r="H483" s="3">
        <f>0*F483</f>
        <v>0</v>
      </c>
      <c r="I483" s="3"/>
      <c r="J483" s="3" t="s">
        <v>299</v>
      </c>
    </row>
    <row r="484" spans="1:10" ht="46.9" hidden="1" customHeight="1">
      <c r="A484" s="7" t="s">
        <v>355</v>
      </c>
      <c r="B484" s="4">
        <v>1212003</v>
      </c>
      <c r="C484" s="3"/>
      <c r="D484" s="9" t="s">
        <v>755</v>
      </c>
      <c r="E484" s="4">
        <v>20</v>
      </c>
      <c r="F484" s="10"/>
      <c r="G484" s="3">
        <f>0*F484</f>
        <v>0</v>
      </c>
      <c r="H484" s="3">
        <f>0*F484</f>
        <v>0</v>
      </c>
      <c r="I484" s="3"/>
      <c r="J484" s="3" t="s">
        <v>299</v>
      </c>
    </row>
    <row r="485" spans="1:10" ht="46.9" hidden="1" customHeight="1">
      <c r="A485" s="7" t="s">
        <v>355</v>
      </c>
      <c r="B485" s="4">
        <v>1212004</v>
      </c>
      <c r="C485" s="3"/>
      <c r="D485" s="9" t="s">
        <v>756</v>
      </c>
      <c r="E485" s="4">
        <v>20</v>
      </c>
      <c r="F485" s="10"/>
      <c r="G485" s="3">
        <f>0*F485</f>
        <v>0</v>
      </c>
      <c r="H485" s="3">
        <f>0*F485</f>
        <v>0</v>
      </c>
      <c r="I485" s="3"/>
      <c r="J485" s="3" t="s">
        <v>299</v>
      </c>
    </row>
    <row r="486" spans="1:10" ht="46.9" hidden="1" customHeight="1">
      <c r="A486" s="7" t="s">
        <v>355</v>
      </c>
      <c r="B486" s="4">
        <v>1212005</v>
      </c>
      <c r="C486" s="3"/>
      <c r="D486" s="9" t="s">
        <v>755</v>
      </c>
      <c r="E486" s="4">
        <v>20</v>
      </c>
      <c r="F486" s="10"/>
      <c r="G486" s="3">
        <f>0.35*F486</f>
        <v>0</v>
      </c>
      <c r="H486" s="3">
        <f>0.0009261*F486</f>
        <v>0</v>
      </c>
      <c r="I486" s="3"/>
      <c r="J486" s="3" t="s">
        <v>299</v>
      </c>
    </row>
    <row r="487" spans="1:10" ht="46.9" hidden="1" customHeight="1">
      <c r="A487" s="7" t="s">
        <v>355</v>
      </c>
      <c r="B487" s="4">
        <v>1212006</v>
      </c>
      <c r="C487" s="3"/>
      <c r="D487" s="9" t="s">
        <v>757</v>
      </c>
      <c r="E487" s="4">
        <v>10</v>
      </c>
      <c r="F487" s="10"/>
      <c r="G487" s="3">
        <f>1.3*F487</f>
        <v>0</v>
      </c>
      <c r="H487" s="3">
        <f>0.001595*F487</f>
        <v>0</v>
      </c>
      <c r="I487" s="3"/>
      <c r="J487" s="3" t="s">
        <v>299</v>
      </c>
    </row>
    <row r="488" spans="1:10" ht="46.9" hidden="1" customHeight="1">
      <c r="A488" s="7" t="s">
        <v>355</v>
      </c>
      <c r="B488" s="4">
        <v>1212007</v>
      </c>
      <c r="C488" s="3"/>
      <c r="D488" s="9" t="s">
        <v>758</v>
      </c>
      <c r="E488" s="4">
        <v>20</v>
      </c>
      <c r="F488" s="10"/>
      <c r="G488" s="3">
        <f>0.95*F488</f>
        <v>0</v>
      </c>
      <c r="H488" s="3">
        <f>0.00203435*F488</f>
        <v>0</v>
      </c>
      <c r="I488" s="3"/>
      <c r="J488" s="3" t="s">
        <v>299</v>
      </c>
    </row>
    <row r="489" spans="1:10" ht="46.9" hidden="1" customHeight="1">
      <c r="A489" s="7" t="s">
        <v>360</v>
      </c>
      <c r="B489" s="4">
        <v>1212008</v>
      </c>
      <c r="C489" s="3"/>
      <c r="D489" s="9" t="s">
        <v>759</v>
      </c>
      <c r="E489" s="4">
        <v>20</v>
      </c>
      <c r="F489" s="10"/>
      <c r="G489" s="3">
        <f>0.75*F489</f>
        <v>0</v>
      </c>
      <c r="H489" s="3">
        <f>0.00203435*F489</f>
        <v>0</v>
      </c>
      <c r="I489" s="3"/>
      <c r="J489" s="3" t="s">
        <v>299</v>
      </c>
    </row>
    <row r="490" spans="1:10" ht="46.9" hidden="1" customHeight="1">
      <c r="A490" s="7" t="s">
        <v>355</v>
      </c>
      <c r="B490" s="4">
        <v>1212009</v>
      </c>
      <c r="C490" s="3"/>
      <c r="D490" s="9" t="s">
        <v>760</v>
      </c>
      <c r="E490" s="4">
        <v>20</v>
      </c>
      <c r="F490" s="10"/>
      <c r="G490" s="3">
        <f>0.4*F490</f>
        <v>0</v>
      </c>
      <c r="H490" s="3">
        <f>0.0009261*F490</f>
        <v>0</v>
      </c>
      <c r="I490" s="3"/>
      <c r="J490" s="3" t="s">
        <v>299</v>
      </c>
    </row>
    <row r="491" spans="1:10" ht="46.9" hidden="1" customHeight="1">
      <c r="A491" s="7" t="s">
        <v>355</v>
      </c>
      <c r="B491" s="4">
        <v>1212010</v>
      </c>
      <c r="C491" s="3"/>
      <c r="D491" s="9" t="s">
        <v>761</v>
      </c>
      <c r="E491" s="4">
        <v>20</v>
      </c>
      <c r="F491" s="10"/>
      <c r="G491" s="3">
        <f>0.35*F491</f>
        <v>0</v>
      </c>
      <c r="H491" s="3">
        <f>0.0009261*F491</f>
        <v>0</v>
      </c>
      <c r="I491" s="3"/>
      <c r="J491" s="3" t="s">
        <v>299</v>
      </c>
    </row>
    <row r="492" spans="1:10" ht="46.9" hidden="1" customHeight="1">
      <c r="A492" s="7" t="s">
        <v>355</v>
      </c>
      <c r="B492" s="4">
        <v>1212011</v>
      </c>
      <c r="C492" s="3"/>
      <c r="D492" s="9" t="s">
        <v>762</v>
      </c>
      <c r="E492" s="4">
        <v>10</v>
      </c>
      <c r="F492" s="10"/>
      <c r="G492" s="3">
        <f>0*F492</f>
        <v>0</v>
      </c>
      <c r="H492" s="3">
        <f>0*F492</f>
        <v>0</v>
      </c>
      <c r="I492" s="3"/>
      <c r="J492" s="3" t="s">
        <v>299</v>
      </c>
    </row>
    <row r="493" spans="1:10" ht="46.9" hidden="1" customHeight="1">
      <c r="A493" s="7" t="s">
        <v>355</v>
      </c>
      <c r="B493" s="4">
        <v>1212012</v>
      </c>
      <c r="C493" s="3"/>
      <c r="D493" s="9" t="s">
        <v>763</v>
      </c>
      <c r="E493" s="4">
        <v>20</v>
      </c>
      <c r="F493" s="10"/>
      <c r="G493" s="3">
        <f>0*F493</f>
        <v>0</v>
      </c>
      <c r="H493" s="3">
        <f>0*F493</f>
        <v>0</v>
      </c>
      <c r="I493" s="3"/>
      <c r="J493" s="3" t="s">
        <v>299</v>
      </c>
    </row>
    <row r="494" spans="1:10" ht="46.9" hidden="1" customHeight="1">
      <c r="A494" s="7" t="s">
        <v>355</v>
      </c>
      <c r="B494" s="4">
        <v>1212013</v>
      </c>
      <c r="C494" s="3"/>
      <c r="D494" s="9" t="s">
        <v>764</v>
      </c>
      <c r="E494" s="4">
        <v>20</v>
      </c>
      <c r="F494" s="10"/>
      <c r="G494" s="3">
        <f>0*F494</f>
        <v>0</v>
      </c>
      <c r="H494" s="3">
        <f>0*F494</f>
        <v>0</v>
      </c>
      <c r="I494" s="3"/>
      <c r="J494" s="3" t="s">
        <v>299</v>
      </c>
    </row>
    <row r="495" spans="1:10" ht="46.9" hidden="1" customHeight="1">
      <c r="A495" s="7" t="s">
        <v>360</v>
      </c>
      <c r="B495" s="4">
        <v>1212014</v>
      </c>
      <c r="C495" s="3"/>
      <c r="D495" s="9" t="s">
        <v>765</v>
      </c>
      <c r="E495" s="4">
        <v>20</v>
      </c>
      <c r="F495" s="10"/>
      <c r="G495" s="3">
        <f>0*F495</f>
        <v>0</v>
      </c>
      <c r="H495" s="3">
        <f>0*F495</f>
        <v>0</v>
      </c>
      <c r="I495" s="3"/>
      <c r="J495" s="3" t="s">
        <v>299</v>
      </c>
    </row>
    <row r="496" spans="1:10" ht="46.9" hidden="1" customHeight="1">
      <c r="A496" s="7" t="s">
        <v>360</v>
      </c>
      <c r="B496" s="4">
        <v>1210094</v>
      </c>
      <c r="C496" s="3"/>
      <c r="D496" s="9" t="s">
        <v>766</v>
      </c>
      <c r="E496" s="4">
        <v>144</v>
      </c>
      <c r="F496" s="10"/>
      <c r="G496" s="3">
        <f t="shared" ref="G496:G509" si="1">1.08*F496</f>
        <v>0</v>
      </c>
      <c r="H496" s="3">
        <f t="shared" ref="H496:H509" si="2">0.001753128*F496</f>
        <v>0</v>
      </c>
      <c r="I496" s="3"/>
      <c r="J496" s="3" t="s">
        <v>299</v>
      </c>
    </row>
    <row r="497" spans="1:10" ht="46.9" hidden="1" customHeight="1">
      <c r="A497" s="7" t="s">
        <v>360</v>
      </c>
      <c r="B497" s="4">
        <v>1210100</v>
      </c>
      <c r="C497" s="3"/>
      <c r="D497" s="9" t="s">
        <v>767</v>
      </c>
      <c r="E497" s="4">
        <v>144</v>
      </c>
      <c r="F497" s="10"/>
      <c r="G497" s="3">
        <f t="shared" si="1"/>
        <v>0</v>
      </c>
      <c r="H497" s="3">
        <f t="shared" si="2"/>
        <v>0</v>
      </c>
      <c r="I497" s="3"/>
      <c r="J497" s="3" t="s">
        <v>299</v>
      </c>
    </row>
    <row r="498" spans="1:10" ht="46.9" hidden="1" customHeight="1">
      <c r="A498" s="7" t="s">
        <v>360</v>
      </c>
      <c r="B498" s="4">
        <v>1210193</v>
      </c>
      <c r="C498" s="3"/>
      <c r="D498" s="9" t="s">
        <v>768</v>
      </c>
      <c r="E498" s="4">
        <v>144</v>
      </c>
      <c r="F498" s="10"/>
      <c r="G498" s="3">
        <f t="shared" si="1"/>
        <v>0</v>
      </c>
      <c r="H498" s="3">
        <f t="shared" si="2"/>
        <v>0</v>
      </c>
      <c r="I498" s="3"/>
      <c r="J498" s="3" t="s">
        <v>299</v>
      </c>
    </row>
    <row r="499" spans="1:10" ht="46.9" hidden="1" customHeight="1">
      <c r="A499" s="7" t="s">
        <v>360</v>
      </c>
      <c r="B499" s="4">
        <v>1211060</v>
      </c>
      <c r="C499" s="3"/>
      <c r="D499" s="9" t="s">
        <v>769</v>
      </c>
      <c r="E499" s="4">
        <v>144</v>
      </c>
      <c r="F499" s="10"/>
      <c r="G499" s="3">
        <f t="shared" si="1"/>
        <v>0</v>
      </c>
      <c r="H499" s="3">
        <f t="shared" si="2"/>
        <v>0</v>
      </c>
      <c r="I499" s="3"/>
      <c r="J499" s="3" t="s">
        <v>299</v>
      </c>
    </row>
    <row r="500" spans="1:10" ht="46.9" hidden="1" customHeight="1">
      <c r="A500" s="7" t="s">
        <v>360</v>
      </c>
      <c r="B500" s="4">
        <v>1211091</v>
      </c>
      <c r="C500" s="3"/>
      <c r="D500" s="9" t="s">
        <v>770</v>
      </c>
      <c r="E500" s="4">
        <v>144</v>
      </c>
      <c r="F500" s="10"/>
      <c r="G500" s="3">
        <f t="shared" si="1"/>
        <v>0</v>
      </c>
      <c r="H500" s="3">
        <f t="shared" si="2"/>
        <v>0</v>
      </c>
      <c r="I500" s="3"/>
      <c r="J500" s="3" t="s">
        <v>299</v>
      </c>
    </row>
    <row r="501" spans="1:10" ht="46.9" hidden="1" customHeight="1">
      <c r="A501" s="7" t="s">
        <v>360</v>
      </c>
      <c r="B501" s="4">
        <v>1211107</v>
      </c>
      <c r="C501" s="3"/>
      <c r="D501" s="9" t="s">
        <v>771</v>
      </c>
      <c r="E501" s="4">
        <v>144</v>
      </c>
      <c r="F501" s="10"/>
      <c r="G501" s="3">
        <f t="shared" si="1"/>
        <v>0</v>
      </c>
      <c r="H501" s="3">
        <f t="shared" si="2"/>
        <v>0</v>
      </c>
      <c r="I501" s="3"/>
      <c r="J501" s="3" t="s">
        <v>299</v>
      </c>
    </row>
    <row r="502" spans="1:10" ht="46.9" hidden="1" customHeight="1">
      <c r="A502" s="7" t="s">
        <v>360</v>
      </c>
      <c r="B502" s="4">
        <v>1211114</v>
      </c>
      <c r="C502" s="3"/>
      <c r="D502" s="9" t="s">
        <v>772</v>
      </c>
      <c r="E502" s="4">
        <v>144</v>
      </c>
      <c r="F502" s="10"/>
      <c r="G502" s="3">
        <f t="shared" si="1"/>
        <v>0</v>
      </c>
      <c r="H502" s="3">
        <f t="shared" si="2"/>
        <v>0</v>
      </c>
      <c r="I502" s="3"/>
      <c r="J502" s="3" t="s">
        <v>299</v>
      </c>
    </row>
    <row r="503" spans="1:10" ht="46.9" hidden="1" customHeight="1">
      <c r="A503" s="7" t="s">
        <v>360</v>
      </c>
      <c r="B503" s="4">
        <v>1211152</v>
      </c>
      <c r="C503" s="3"/>
      <c r="D503" s="9" t="s">
        <v>773</v>
      </c>
      <c r="E503" s="4">
        <v>288</v>
      </c>
      <c r="F503" s="10"/>
      <c r="G503" s="3">
        <f t="shared" si="1"/>
        <v>0</v>
      </c>
      <c r="H503" s="3">
        <f t="shared" si="2"/>
        <v>0</v>
      </c>
      <c r="I503" s="3"/>
      <c r="J503" s="3" t="s">
        <v>299</v>
      </c>
    </row>
    <row r="504" spans="1:10" ht="46.9" hidden="1" customHeight="1">
      <c r="A504" s="7" t="s">
        <v>360</v>
      </c>
      <c r="B504" s="4">
        <v>1211169</v>
      </c>
      <c r="C504" s="3"/>
      <c r="D504" s="9" t="s">
        <v>774</v>
      </c>
      <c r="E504" s="4">
        <v>144</v>
      </c>
      <c r="F504" s="10"/>
      <c r="G504" s="3">
        <f t="shared" si="1"/>
        <v>0</v>
      </c>
      <c r="H504" s="3">
        <f t="shared" si="2"/>
        <v>0</v>
      </c>
      <c r="I504" s="3"/>
      <c r="J504" s="3" t="s">
        <v>299</v>
      </c>
    </row>
    <row r="505" spans="1:10" ht="46.9" hidden="1" customHeight="1">
      <c r="A505" s="7" t="s">
        <v>360</v>
      </c>
      <c r="B505" s="4">
        <v>1211190</v>
      </c>
      <c r="C505" s="3"/>
      <c r="D505" s="9" t="s">
        <v>775</v>
      </c>
      <c r="E505" s="4">
        <v>144</v>
      </c>
      <c r="F505" s="10"/>
      <c r="G505" s="3">
        <f t="shared" si="1"/>
        <v>0</v>
      </c>
      <c r="H505" s="3">
        <f t="shared" si="2"/>
        <v>0</v>
      </c>
      <c r="I505" s="3"/>
      <c r="J505" s="3" t="s">
        <v>299</v>
      </c>
    </row>
    <row r="506" spans="1:10" ht="46.9" hidden="1" customHeight="1">
      <c r="A506" s="7" t="s">
        <v>355</v>
      </c>
      <c r="B506" s="4">
        <v>1236001</v>
      </c>
      <c r="C506" s="3"/>
      <c r="D506" s="9" t="s">
        <v>776</v>
      </c>
      <c r="E506" s="4">
        <v>12</v>
      </c>
      <c r="F506" s="10"/>
      <c r="G506" s="3">
        <f t="shared" si="1"/>
        <v>0</v>
      </c>
      <c r="H506" s="3">
        <f t="shared" si="2"/>
        <v>0</v>
      </c>
      <c r="I506" s="3"/>
      <c r="J506" s="3" t="s">
        <v>299</v>
      </c>
    </row>
    <row r="507" spans="1:10" ht="46.9" hidden="1" customHeight="1">
      <c r="A507" s="7" t="s">
        <v>360</v>
      </c>
      <c r="B507" s="4">
        <v>1236018</v>
      </c>
      <c r="C507" s="3"/>
      <c r="D507" s="9" t="s">
        <v>777</v>
      </c>
      <c r="E507" s="4">
        <v>20</v>
      </c>
      <c r="F507" s="10"/>
      <c r="G507" s="3">
        <f t="shared" si="1"/>
        <v>0</v>
      </c>
      <c r="H507" s="3">
        <f t="shared" si="2"/>
        <v>0</v>
      </c>
      <c r="I507" s="3"/>
      <c r="J507" s="3" t="s">
        <v>299</v>
      </c>
    </row>
    <row r="508" spans="1:10" ht="46.9" hidden="1" customHeight="1">
      <c r="A508" s="7" t="s">
        <v>360</v>
      </c>
      <c r="B508" s="4">
        <v>1236032</v>
      </c>
      <c r="C508" s="3"/>
      <c r="D508" s="9" t="s">
        <v>778</v>
      </c>
      <c r="E508" s="4">
        <v>50</v>
      </c>
      <c r="F508" s="10"/>
      <c r="G508" s="3">
        <f t="shared" si="1"/>
        <v>0</v>
      </c>
      <c r="H508" s="3">
        <f t="shared" si="2"/>
        <v>0</v>
      </c>
      <c r="I508" s="3"/>
      <c r="J508" s="3" t="s">
        <v>299</v>
      </c>
    </row>
    <row r="509" spans="1:10" ht="46.9" hidden="1" customHeight="1">
      <c r="A509" s="7" t="s">
        <v>360</v>
      </c>
      <c r="B509" s="4">
        <v>1236049</v>
      </c>
      <c r="C509" s="3"/>
      <c r="D509" s="9" t="s">
        <v>779</v>
      </c>
      <c r="E509" s="4">
        <v>20</v>
      </c>
      <c r="F509" s="10"/>
      <c r="G509" s="3">
        <f t="shared" si="1"/>
        <v>0</v>
      </c>
      <c r="H509" s="3">
        <f t="shared" si="2"/>
        <v>0</v>
      </c>
      <c r="I509" s="3"/>
      <c r="J509" s="3" t="s">
        <v>299</v>
      </c>
    </row>
    <row r="510" spans="1:10" ht="46.9" hidden="1" customHeight="1">
      <c r="A510" s="7" t="s">
        <v>355</v>
      </c>
      <c r="B510" s="4">
        <v>3950130</v>
      </c>
      <c r="C510" s="3"/>
      <c r="D510" s="9" t="s">
        <v>780</v>
      </c>
      <c r="E510" s="4">
        <v>12</v>
      </c>
      <c r="F510" s="10"/>
      <c r="G510" s="3">
        <f>0.17*F510</f>
        <v>0</v>
      </c>
      <c r="H510" s="3">
        <f>0.000336*F510</f>
        <v>0</v>
      </c>
      <c r="I510" s="3"/>
      <c r="J510" s="3" t="s">
        <v>299</v>
      </c>
    </row>
    <row r="511" spans="1:10" ht="46.9" customHeight="1">
      <c r="A511" s="7" t="s">
        <v>355</v>
      </c>
      <c r="B511" s="4">
        <v>8500220</v>
      </c>
      <c r="C511" s="3"/>
      <c r="D511" s="9" t="s">
        <v>781</v>
      </c>
      <c r="E511" s="4">
        <v>25</v>
      </c>
      <c r="F511" s="10">
        <v>1</v>
      </c>
      <c r="G511" s="3">
        <f>0.27*F511</f>
        <v>0.27</v>
      </c>
      <c r="H511" s="3">
        <f>0.000628425*F511</f>
        <v>6.2842499999999995E-4</v>
      </c>
      <c r="I511" s="3"/>
      <c r="J511" s="3" t="s">
        <v>299</v>
      </c>
    </row>
    <row r="512" spans="1:10" ht="46.9" hidden="1" customHeight="1">
      <c r="A512" s="7" t="s">
        <v>355</v>
      </c>
      <c r="B512" s="4">
        <v>1207186</v>
      </c>
      <c r="C512" s="3"/>
      <c r="D512" s="9" t="s">
        <v>782</v>
      </c>
      <c r="E512" s="4">
        <v>4</v>
      </c>
      <c r="F512" s="10"/>
      <c r="G512" s="3">
        <f>1.08*F512</f>
        <v>0</v>
      </c>
      <c r="H512" s="3">
        <f>0.001753128*F512</f>
        <v>0</v>
      </c>
      <c r="I512" s="3"/>
      <c r="J512" s="3" t="s">
        <v>299</v>
      </c>
    </row>
    <row r="513" spans="1:10" ht="18.75" hidden="1">
      <c r="A513" s="6"/>
      <c r="B513" s="19" t="s">
        <v>783</v>
      </c>
      <c r="C513" s="20"/>
      <c r="D513" s="20"/>
      <c r="E513" s="20"/>
      <c r="F513" s="20"/>
      <c r="G513" s="20"/>
      <c r="H513" s="20"/>
      <c r="I513" s="20"/>
      <c r="J513" s="21"/>
    </row>
    <row r="514" spans="1:10" ht="46.9" hidden="1" customHeight="1">
      <c r="A514" s="7" t="s">
        <v>360</v>
      </c>
      <c r="B514" s="4">
        <v>1110936</v>
      </c>
      <c r="C514" s="3"/>
      <c r="D514" s="9" t="s">
        <v>784</v>
      </c>
      <c r="E514" s="4">
        <v>6</v>
      </c>
      <c r="F514" s="10"/>
      <c r="G514" s="3">
        <f>2.1*F514</f>
        <v>0</v>
      </c>
      <c r="H514" s="3">
        <f>0.012634833*F514</f>
        <v>0</v>
      </c>
      <c r="I514" s="3"/>
      <c r="J514" s="3" t="s">
        <v>299</v>
      </c>
    </row>
    <row r="515" spans="1:10" ht="46.9" hidden="1" customHeight="1">
      <c r="A515" s="7" t="s">
        <v>360</v>
      </c>
      <c r="B515" s="4">
        <v>1104966</v>
      </c>
      <c r="C515" s="3"/>
      <c r="D515" s="9" t="s">
        <v>785</v>
      </c>
      <c r="E515" s="4">
        <v>6</v>
      </c>
      <c r="F515" s="10"/>
      <c r="G515" s="3">
        <f>2.18*F515</f>
        <v>0</v>
      </c>
      <c r="H515" s="3">
        <f>0.004614178*F515</f>
        <v>0</v>
      </c>
      <c r="I515" s="3"/>
      <c r="J515" s="3" t="s">
        <v>299</v>
      </c>
    </row>
    <row r="516" spans="1:10" ht="46.9" hidden="1" customHeight="1">
      <c r="A516" s="7" t="s">
        <v>360</v>
      </c>
      <c r="B516" s="4">
        <v>1100892</v>
      </c>
      <c r="C516" s="3"/>
      <c r="D516" s="9" t="s">
        <v>786</v>
      </c>
      <c r="E516" s="4">
        <v>6</v>
      </c>
      <c r="F516" s="10"/>
      <c r="G516" s="3">
        <f>1.35*F516</f>
        <v>0</v>
      </c>
      <c r="H516" s="3">
        <f>0.005599063*F516</f>
        <v>0</v>
      </c>
      <c r="I516" s="3"/>
      <c r="J516" s="3" t="s">
        <v>299</v>
      </c>
    </row>
    <row r="517" spans="1:10" ht="46.9" hidden="1" customHeight="1">
      <c r="A517" s="7" t="s">
        <v>355</v>
      </c>
      <c r="B517" s="4">
        <v>1100894</v>
      </c>
      <c r="C517" s="3"/>
      <c r="D517" s="9" t="s">
        <v>787</v>
      </c>
      <c r="E517" s="4">
        <v>6</v>
      </c>
      <c r="F517" s="10"/>
      <c r="G517" s="3">
        <f>1.08*F517</f>
        <v>0</v>
      </c>
      <c r="H517" s="3">
        <f>0.004314375*F517</f>
        <v>0</v>
      </c>
      <c r="I517" s="3"/>
      <c r="J517" s="3" t="s">
        <v>299</v>
      </c>
    </row>
    <row r="518" spans="1:10" ht="46.9" hidden="1" customHeight="1">
      <c r="A518" s="7" t="s">
        <v>360</v>
      </c>
      <c r="B518" s="4">
        <v>1100895</v>
      </c>
      <c r="C518" s="3"/>
      <c r="D518" s="9" t="s">
        <v>788</v>
      </c>
      <c r="E518" s="4">
        <v>6</v>
      </c>
      <c r="F518" s="10"/>
      <c r="G518" s="3">
        <f>1.25*F518</f>
        <v>0</v>
      </c>
      <c r="H518" s="3">
        <f>0.00441025*F518</f>
        <v>0</v>
      </c>
      <c r="I518" s="3"/>
      <c r="J518" s="3" t="s">
        <v>299</v>
      </c>
    </row>
    <row r="519" spans="1:10" ht="46.9" hidden="1" customHeight="1">
      <c r="A519" s="7" t="s">
        <v>360</v>
      </c>
      <c r="B519" s="4">
        <v>1100897</v>
      </c>
      <c r="C519" s="3"/>
      <c r="D519" s="9" t="s">
        <v>789</v>
      </c>
      <c r="E519" s="4">
        <v>6</v>
      </c>
      <c r="F519" s="10"/>
      <c r="G519" s="3">
        <f>0.98*F519</f>
        <v>0</v>
      </c>
      <c r="H519" s="3">
        <f>0.0036765*F519</f>
        <v>0</v>
      </c>
      <c r="I519" s="3"/>
      <c r="J519" s="3" t="s">
        <v>299</v>
      </c>
    </row>
    <row r="520" spans="1:10" ht="46.9" hidden="1" customHeight="1">
      <c r="A520" s="7" t="s">
        <v>360</v>
      </c>
      <c r="B520" s="4">
        <v>1100898</v>
      </c>
      <c r="C520" s="3"/>
      <c r="D520" s="9" t="s">
        <v>790</v>
      </c>
      <c r="E520" s="4">
        <v>6</v>
      </c>
      <c r="F520" s="10"/>
      <c r="G520" s="3">
        <f>1.1*F520</f>
        <v>0</v>
      </c>
      <c r="H520" s="3">
        <f>0.008316*F520</f>
        <v>0</v>
      </c>
      <c r="I520" s="3"/>
      <c r="J520" s="3" t="s">
        <v>299</v>
      </c>
    </row>
    <row r="521" spans="1:10" ht="46.9" hidden="1" customHeight="1">
      <c r="A521" s="7" t="s">
        <v>360</v>
      </c>
      <c r="B521" s="4">
        <v>4491006</v>
      </c>
      <c r="C521" s="3"/>
      <c r="D521" s="9" t="s">
        <v>791</v>
      </c>
      <c r="E521" s="4">
        <v>12</v>
      </c>
      <c r="F521" s="10"/>
      <c r="G521" s="3">
        <f>0.27*F521</f>
        <v>0</v>
      </c>
      <c r="H521" s="3">
        <f>0.001785208*F521</f>
        <v>0</v>
      </c>
      <c r="I521" s="3"/>
      <c r="J521" s="3" t="s">
        <v>299</v>
      </c>
    </row>
    <row r="522" spans="1:10" ht="46.9" hidden="1" customHeight="1">
      <c r="A522" s="7" t="s">
        <v>360</v>
      </c>
      <c r="B522" s="4">
        <v>4491007</v>
      </c>
      <c r="C522" s="3"/>
      <c r="D522" s="9" t="s">
        <v>792</v>
      </c>
      <c r="E522" s="4">
        <v>12</v>
      </c>
      <c r="F522" s="10"/>
      <c r="G522" s="3">
        <f>0.26*F522</f>
        <v>0</v>
      </c>
      <c r="H522" s="3">
        <f>0.001785208*F522</f>
        <v>0</v>
      </c>
      <c r="I522" s="3"/>
      <c r="J522" s="3" t="s">
        <v>299</v>
      </c>
    </row>
    <row r="523" spans="1:10" ht="46.9" hidden="1" customHeight="1">
      <c r="A523" s="7" t="s">
        <v>360</v>
      </c>
      <c r="B523" s="4">
        <v>2003039</v>
      </c>
      <c r="C523" s="3"/>
      <c r="D523" s="9" t="s">
        <v>793</v>
      </c>
      <c r="E523" s="4">
        <v>6</v>
      </c>
      <c r="F523" s="10"/>
      <c r="G523" s="3">
        <f>0.3*F523</f>
        <v>0</v>
      </c>
      <c r="H523" s="3">
        <f>0.001317667*F523</f>
        <v>0</v>
      </c>
      <c r="I523" s="3"/>
      <c r="J523" s="3" t="s">
        <v>299</v>
      </c>
    </row>
    <row r="524" spans="1:10" ht="46.9" hidden="1" customHeight="1">
      <c r="A524" s="7" t="s">
        <v>360</v>
      </c>
      <c r="B524" s="4">
        <v>1301648</v>
      </c>
      <c r="C524" s="3"/>
      <c r="D524" s="9" t="s">
        <v>794</v>
      </c>
      <c r="E524" s="4">
        <v>6</v>
      </c>
      <c r="F524" s="10"/>
      <c r="G524" s="3">
        <f>0.3*F524</f>
        <v>0</v>
      </c>
      <c r="H524" s="3">
        <f>0.00084175*F524</f>
        <v>0</v>
      </c>
      <c r="I524" s="3"/>
      <c r="J524" s="3" t="s">
        <v>299</v>
      </c>
    </row>
    <row r="525" spans="1:10" ht="46.9" hidden="1" customHeight="1">
      <c r="A525" s="7" t="s">
        <v>355</v>
      </c>
      <c r="B525" s="4">
        <v>2003010</v>
      </c>
      <c r="C525" s="3"/>
      <c r="D525" s="9" t="s">
        <v>795</v>
      </c>
      <c r="E525" s="4">
        <v>6</v>
      </c>
      <c r="F525" s="10"/>
      <c r="G525" s="3">
        <f>0.23*F525</f>
        <v>0</v>
      </c>
      <c r="H525" s="3">
        <f>0.000885417*F525</f>
        <v>0</v>
      </c>
      <c r="I525" s="3"/>
      <c r="J525" s="3" t="s">
        <v>299</v>
      </c>
    </row>
    <row r="526" spans="1:10" ht="46.9" hidden="1" customHeight="1">
      <c r="A526" s="7" t="s">
        <v>355</v>
      </c>
      <c r="B526" s="4">
        <v>1106253</v>
      </c>
      <c r="C526" s="3"/>
      <c r="D526" s="9" t="s">
        <v>796</v>
      </c>
      <c r="E526" s="4">
        <v>6</v>
      </c>
      <c r="F526" s="10"/>
      <c r="G526" s="3">
        <f>0.23*F526</f>
        <v>0</v>
      </c>
      <c r="H526" s="3">
        <f>0.000845833*F526</f>
        <v>0</v>
      </c>
      <c r="I526" s="3"/>
      <c r="J526" s="3" t="s">
        <v>299</v>
      </c>
    </row>
    <row r="527" spans="1:10" ht="46.9" customHeight="1">
      <c r="A527" s="7" t="s">
        <v>360</v>
      </c>
      <c r="B527" s="4">
        <v>2800409</v>
      </c>
      <c r="C527" s="3"/>
      <c r="D527" s="9" t="s">
        <v>797</v>
      </c>
      <c r="E527" s="4">
        <v>6</v>
      </c>
      <c r="F527" s="10">
        <v>1</v>
      </c>
      <c r="G527" s="3">
        <f>0.26*F527</f>
        <v>0.26</v>
      </c>
      <c r="H527" s="3">
        <f>0.00096525*F527</f>
        <v>9.6524999999999996E-4</v>
      </c>
      <c r="I527" s="3"/>
      <c r="J527" s="3" t="s">
        <v>299</v>
      </c>
    </row>
    <row r="528" spans="1:10" ht="46.9" hidden="1" customHeight="1">
      <c r="A528" s="7" t="s">
        <v>360</v>
      </c>
      <c r="B528" s="4">
        <v>3700180</v>
      </c>
      <c r="C528" s="3"/>
      <c r="D528" s="9" t="s">
        <v>798</v>
      </c>
      <c r="E528" s="4">
        <v>4</v>
      </c>
      <c r="F528" s="10"/>
      <c r="G528" s="3">
        <f>0.28*F528</f>
        <v>0</v>
      </c>
      <c r="H528" s="3">
        <f>0.001179063*F528</f>
        <v>0</v>
      </c>
      <c r="I528" s="3"/>
      <c r="J528" s="3" t="s">
        <v>299</v>
      </c>
    </row>
    <row r="529" spans="1:10" ht="46.9" customHeight="1">
      <c r="A529" s="7" t="s">
        <v>360</v>
      </c>
      <c r="B529" s="4">
        <v>1106254</v>
      </c>
      <c r="C529" s="3"/>
      <c r="D529" s="9" t="s">
        <v>799</v>
      </c>
      <c r="E529" s="4">
        <v>6</v>
      </c>
      <c r="F529" s="10">
        <v>2</v>
      </c>
      <c r="G529" s="3">
        <f>0.3*F529</f>
        <v>0.6</v>
      </c>
      <c r="H529" s="3">
        <f>0.00128*F529</f>
        <v>2.5600000000000002E-3</v>
      </c>
      <c r="I529" s="3"/>
      <c r="J529" s="3" t="s">
        <v>299</v>
      </c>
    </row>
    <row r="530" spans="1:10" ht="46.9" hidden="1" customHeight="1">
      <c r="A530" s="7" t="s">
        <v>360</v>
      </c>
      <c r="B530" s="4">
        <v>1106255</v>
      </c>
      <c r="C530" s="3"/>
      <c r="D530" s="9" t="s">
        <v>800</v>
      </c>
      <c r="E530" s="4">
        <v>6</v>
      </c>
      <c r="F530" s="10"/>
      <c r="G530" s="3">
        <f>0.22*F530</f>
        <v>0</v>
      </c>
      <c r="H530" s="3">
        <f>0.000544*F530</f>
        <v>0</v>
      </c>
      <c r="I530" s="3"/>
      <c r="J530" s="3" t="s">
        <v>299</v>
      </c>
    </row>
    <row r="531" spans="1:10" ht="46.9" hidden="1" customHeight="1">
      <c r="A531" s="7" t="s">
        <v>355</v>
      </c>
      <c r="B531" s="4">
        <v>1106256</v>
      </c>
      <c r="C531" s="3"/>
      <c r="D531" s="9" t="s">
        <v>801</v>
      </c>
      <c r="E531" s="4">
        <v>6</v>
      </c>
      <c r="F531" s="10"/>
      <c r="G531" s="3">
        <f>0.19*F531</f>
        <v>0</v>
      </c>
      <c r="H531" s="3">
        <f>0.000646*F531</f>
        <v>0</v>
      </c>
      <c r="I531" s="3"/>
      <c r="J531" s="3" t="s">
        <v>299</v>
      </c>
    </row>
    <row r="532" spans="1:10" ht="46.9" customHeight="1">
      <c r="A532" s="7" t="s">
        <v>360</v>
      </c>
      <c r="B532" s="4">
        <v>1100191</v>
      </c>
      <c r="C532" s="3"/>
      <c r="D532" s="9" t="s">
        <v>802</v>
      </c>
      <c r="E532" s="4">
        <v>12</v>
      </c>
      <c r="F532" s="10">
        <v>1</v>
      </c>
      <c r="G532" s="3">
        <f>0.42*F532</f>
        <v>0.42</v>
      </c>
      <c r="H532" s="3">
        <f>0.002187*F532</f>
        <v>2.1870000000000001E-3</v>
      </c>
      <c r="I532" s="3"/>
      <c r="J532" s="3" t="s">
        <v>299</v>
      </c>
    </row>
    <row r="533" spans="1:10" ht="46.9" customHeight="1">
      <c r="A533" s="7" t="s">
        <v>360</v>
      </c>
      <c r="B533" s="4">
        <v>1100192</v>
      </c>
      <c r="C533" s="3"/>
      <c r="D533" s="9" t="s">
        <v>803</v>
      </c>
      <c r="E533" s="4">
        <v>12</v>
      </c>
      <c r="F533" s="10">
        <v>1</v>
      </c>
      <c r="G533" s="3">
        <f>0.35*F533</f>
        <v>0.35</v>
      </c>
      <c r="H533" s="3">
        <f>0.001953*F533</f>
        <v>1.9530000000000001E-3</v>
      </c>
      <c r="I533" s="3"/>
      <c r="J533" s="3" t="s">
        <v>299</v>
      </c>
    </row>
    <row r="534" spans="1:10" ht="46.9" hidden="1" customHeight="1">
      <c r="A534" s="7" t="s">
        <v>360</v>
      </c>
      <c r="B534" s="4">
        <v>1100193</v>
      </c>
      <c r="C534" s="3"/>
      <c r="D534" s="9" t="s">
        <v>803</v>
      </c>
      <c r="E534" s="4">
        <v>12</v>
      </c>
      <c r="F534" s="10"/>
      <c r="G534" s="3">
        <f>0.33*F534</f>
        <v>0</v>
      </c>
      <c r="H534" s="3">
        <f>0.002153667*F534</f>
        <v>0</v>
      </c>
      <c r="I534" s="3"/>
      <c r="J534" s="3" t="s">
        <v>299</v>
      </c>
    </row>
    <row r="535" spans="1:10" ht="46.9" hidden="1" customHeight="1">
      <c r="A535" s="7" t="s">
        <v>360</v>
      </c>
      <c r="B535" s="4">
        <v>1100194</v>
      </c>
      <c r="C535" s="3"/>
      <c r="D535" s="9" t="s">
        <v>804</v>
      </c>
      <c r="E535" s="4">
        <v>24</v>
      </c>
      <c r="F535" s="10"/>
      <c r="G535" s="3">
        <f>0.1*F535</f>
        <v>0</v>
      </c>
      <c r="H535" s="3">
        <f>0.0004945*F535</f>
        <v>0</v>
      </c>
      <c r="I535" s="3"/>
      <c r="J535" s="3" t="s">
        <v>299</v>
      </c>
    </row>
    <row r="536" spans="1:10" ht="46.9" hidden="1" customHeight="1">
      <c r="A536" s="7" t="s">
        <v>355</v>
      </c>
      <c r="B536" s="4">
        <v>1100034</v>
      </c>
      <c r="C536" s="3"/>
      <c r="D536" s="9" t="s">
        <v>805</v>
      </c>
      <c r="E536" s="4">
        <v>12</v>
      </c>
      <c r="F536" s="10"/>
      <c r="G536" s="3">
        <f>0.2*F536</f>
        <v>0</v>
      </c>
      <c r="H536" s="3">
        <f>0.001333889*F536</f>
        <v>0</v>
      </c>
      <c r="I536" s="3"/>
      <c r="J536" s="3" t="s">
        <v>299</v>
      </c>
    </row>
    <row r="537" spans="1:10" ht="46.9" customHeight="1">
      <c r="A537" s="7" t="s">
        <v>355</v>
      </c>
      <c r="B537" s="4">
        <v>1100035</v>
      </c>
      <c r="C537" s="3"/>
      <c r="D537" s="9" t="s">
        <v>806</v>
      </c>
      <c r="E537" s="4">
        <v>12</v>
      </c>
      <c r="F537" s="10">
        <v>1</v>
      </c>
      <c r="G537" s="3">
        <f>0.26*F537</f>
        <v>0.26</v>
      </c>
      <c r="H537" s="3">
        <f>0.001596111*F537</f>
        <v>1.5961110000000001E-3</v>
      </c>
      <c r="I537" s="3"/>
      <c r="J537" s="3" t="s">
        <v>299</v>
      </c>
    </row>
    <row r="538" spans="1:10" ht="46.9" hidden="1" customHeight="1">
      <c r="A538" s="7" t="s">
        <v>355</v>
      </c>
      <c r="B538" s="4">
        <v>1100037</v>
      </c>
      <c r="C538" s="3"/>
      <c r="D538" s="9" t="s">
        <v>807</v>
      </c>
      <c r="E538" s="4">
        <v>24</v>
      </c>
      <c r="F538" s="10"/>
      <c r="G538" s="3">
        <f>0.13*F538</f>
        <v>0</v>
      </c>
      <c r="H538" s="3">
        <f>0.000504292*F538</f>
        <v>0</v>
      </c>
      <c r="I538" s="3"/>
      <c r="J538" s="3" t="s">
        <v>299</v>
      </c>
    </row>
    <row r="539" spans="1:10" ht="46.9" hidden="1" customHeight="1">
      <c r="A539" s="7" t="s">
        <v>355</v>
      </c>
      <c r="B539" s="4">
        <v>1100038</v>
      </c>
      <c r="C539" s="3"/>
      <c r="D539" s="9" t="s">
        <v>808</v>
      </c>
      <c r="E539" s="4">
        <v>12</v>
      </c>
      <c r="F539" s="10"/>
      <c r="G539" s="3">
        <f>0.21*F539</f>
        <v>0</v>
      </c>
      <c r="H539" s="3">
        <f>0.001112222*F539</f>
        <v>0</v>
      </c>
      <c r="I539" s="3"/>
      <c r="J539" s="3" t="s">
        <v>299</v>
      </c>
    </row>
    <row r="540" spans="1:10" ht="46.9" customHeight="1">
      <c r="A540" s="7" t="s">
        <v>355</v>
      </c>
      <c r="B540" s="4">
        <v>1100039</v>
      </c>
      <c r="C540" s="3"/>
      <c r="D540" s="9" t="s">
        <v>803</v>
      </c>
      <c r="E540" s="4">
        <v>12</v>
      </c>
      <c r="F540" s="10">
        <v>1</v>
      </c>
      <c r="G540" s="3">
        <f>0.28*F540</f>
        <v>0.28000000000000003</v>
      </c>
      <c r="H540" s="3">
        <f>0.001940625*F540</f>
        <v>1.9406250000000001E-3</v>
      </c>
      <c r="I540" s="3"/>
      <c r="J540" s="3" t="s">
        <v>299</v>
      </c>
    </row>
    <row r="541" spans="1:10" ht="46.9" customHeight="1">
      <c r="A541" s="7" t="s">
        <v>355</v>
      </c>
      <c r="B541" s="4">
        <v>1100136</v>
      </c>
      <c r="C541" s="3"/>
      <c r="D541" s="9" t="s">
        <v>809</v>
      </c>
      <c r="E541" s="4">
        <v>24</v>
      </c>
      <c r="F541" s="10">
        <v>1</v>
      </c>
      <c r="G541" s="3">
        <f>0.16*F541</f>
        <v>0.16</v>
      </c>
      <c r="H541" s="3">
        <f>0.000903833*F541</f>
        <v>9.0383300000000005E-4</v>
      </c>
      <c r="I541" s="3"/>
      <c r="J541" s="3" t="s">
        <v>299</v>
      </c>
    </row>
    <row r="542" spans="1:10" ht="46.9" hidden="1" customHeight="1">
      <c r="A542" s="7" t="s">
        <v>360</v>
      </c>
      <c r="B542" s="4">
        <v>1100807</v>
      </c>
      <c r="C542" s="3"/>
      <c r="D542" s="9" t="s">
        <v>810</v>
      </c>
      <c r="E542" s="4">
        <v>24</v>
      </c>
      <c r="F542" s="10"/>
      <c r="G542" s="3">
        <f>0.53*F542</f>
        <v>0</v>
      </c>
      <c r="H542" s="3">
        <f>0.001245703*F542</f>
        <v>0</v>
      </c>
      <c r="I542" s="3"/>
      <c r="J542" s="3" t="s">
        <v>299</v>
      </c>
    </row>
    <row r="543" spans="1:10" ht="46.9" hidden="1" customHeight="1">
      <c r="A543" s="7" t="s">
        <v>360</v>
      </c>
      <c r="B543" s="4">
        <v>2800103</v>
      </c>
      <c r="C543" s="3"/>
      <c r="D543" s="9" t="s">
        <v>811</v>
      </c>
      <c r="E543" s="4">
        <v>12</v>
      </c>
      <c r="F543" s="10"/>
      <c r="G543" s="3">
        <f>0.79*F543</f>
        <v>0</v>
      </c>
      <c r="H543" s="3">
        <f>0.00609*F543</f>
        <v>0</v>
      </c>
      <c r="I543" s="3"/>
      <c r="J543" s="3" t="s">
        <v>299</v>
      </c>
    </row>
    <row r="544" spans="1:10" ht="46.9" hidden="1" customHeight="1">
      <c r="A544" s="7" t="s">
        <v>355</v>
      </c>
      <c r="B544" s="4">
        <v>2800105</v>
      </c>
      <c r="C544" s="3"/>
      <c r="D544" s="9" t="s">
        <v>812</v>
      </c>
      <c r="E544" s="4">
        <v>24</v>
      </c>
      <c r="F544" s="10"/>
      <c r="G544" s="3">
        <f>0.29*F544</f>
        <v>0</v>
      </c>
      <c r="H544" s="3">
        <f>0.002582688*F544</f>
        <v>0</v>
      </c>
      <c r="I544" s="3"/>
      <c r="J544" s="3" t="s">
        <v>299</v>
      </c>
    </row>
    <row r="545" spans="1:10" ht="46.9" hidden="1" customHeight="1">
      <c r="A545" s="7" t="s">
        <v>360</v>
      </c>
      <c r="B545" s="4">
        <v>2800107</v>
      </c>
      <c r="C545" s="3"/>
      <c r="D545" s="9" t="s">
        <v>813</v>
      </c>
      <c r="E545" s="4">
        <v>12</v>
      </c>
      <c r="F545" s="10"/>
      <c r="G545" s="3">
        <f>1.08*F545</f>
        <v>0</v>
      </c>
      <c r="H545" s="3">
        <f>0.005491875*F545</f>
        <v>0</v>
      </c>
      <c r="I545" s="3"/>
      <c r="J545" s="3" t="s">
        <v>299</v>
      </c>
    </row>
    <row r="546" spans="1:10" ht="46.9" hidden="1" customHeight="1">
      <c r="A546" s="7" t="s">
        <v>360</v>
      </c>
      <c r="B546" s="4">
        <v>2800111</v>
      </c>
      <c r="C546" s="3"/>
      <c r="D546" s="9" t="s">
        <v>814</v>
      </c>
      <c r="E546" s="4">
        <v>6</v>
      </c>
      <c r="F546" s="10"/>
      <c r="G546" s="3">
        <f>1.6*F546</f>
        <v>0</v>
      </c>
      <c r="H546" s="3">
        <f>0.013278417*F546</f>
        <v>0</v>
      </c>
      <c r="I546" s="3"/>
      <c r="J546" s="3" t="s">
        <v>299</v>
      </c>
    </row>
    <row r="547" spans="1:10" ht="46.9" hidden="1" customHeight="1">
      <c r="A547" s="7" t="s">
        <v>360</v>
      </c>
      <c r="B547" s="4">
        <v>2800112</v>
      </c>
      <c r="C547" s="3"/>
      <c r="D547" s="9" t="s">
        <v>815</v>
      </c>
      <c r="E547" s="4">
        <v>6</v>
      </c>
      <c r="F547" s="10"/>
      <c r="G547" s="3">
        <f>1.92*F547</f>
        <v>0</v>
      </c>
      <c r="H547" s="3">
        <f>0.017985333*F547</f>
        <v>0</v>
      </c>
      <c r="I547" s="3"/>
      <c r="J547" s="3" t="s">
        <v>299</v>
      </c>
    </row>
    <row r="548" spans="1:10" ht="46.9" hidden="1" customHeight="1">
      <c r="A548" s="7" t="s">
        <v>360</v>
      </c>
      <c r="B548" s="4">
        <v>2800115</v>
      </c>
      <c r="C548" s="3"/>
      <c r="D548" s="9" t="s">
        <v>816</v>
      </c>
      <c r="E548" s="4">
        <v>12</v>
      </c>
      <c r="F548" s="10"/>
      <c r="G548" s="3">
        <f>0.68*F548</f>
        <v>0</v>
      </c>
      <c r="H548" s="3">
        <f>0.004606875*F548</f>
        <v>0</v>
      </c>
      <c r="I548" s="3"/>
      <c r="J548" s="3" t="s">
        <v>299</v>
      </c>
    </row>
    <row r="549" spans="1:10" ht="46.9" hidden="1" customHeight="1">
      <c r="A549" s="7" t="s">
        <v>360</v>
      </c>
      <c r="B549" s="4">
        <v>2800116</v>
      </c>
      <c r="C549" s="3"/>
      <c r="D549" s="9" t="s">
        <v>817</v>
      </c>
      <c r="E549" s="4">
        <v>24</v>
      </c>
      <c r="F549" s="10"/>
      <c r="G549" s="3">
        <f>0.5*F549</f>
        <v>0</v>
      </c>
      <c r="H549" s="3">
        <f>0.003061057*F549</f>
        <v>0</v>
      </c>
      <c r="I549" s="3"/>
      <c r="J549" s="3" t="s">
        <v>299</v>
      </c>
    </row>
    <row r="550" spans="1:10" ht="46.9" hidden="1" customHeight="1">
      <c r="A550" s="7" t="s">
        <v>355</v>
      </c>
      <c r="B550" s="4">
        <v>2800123</v>
      </c>
      <c r="C550" s="3"/>
      <c r="D550" s="9" t="s">
        <v>818</v>
      </c>
      <c r="E550" s="4">
        <v>48</v>
      </c>
      <c r="F550" s="10"/>
      <c r="G550" s="3">
        <f>0.15*F550</f>
        <v>0</v>
      </c>
      <c r="H550" s="3">
        <f>0.000760375*F550</f>
        <v>0</v>
      </c>
      <c r="I550" s="3"/>
      <c r="J550" s="3" t="s">
        <v>299</v>
      </c>
    </row>
    <row r="551" spans="1:10" ht="46.9" hidden="1" customHeight="1">
      <c r="A551" s="7" t="s">
        <v>355</v>
      </c>
      <c r="B551" s="4">
        <v>1101850</v>
      </c>
      <c r="C551" s="3"/>
      <c r="D551" s="9" t="s">
        <v>819</v>
      </c>
      <c r="E551" s="4">
        <v>6</v>
      </c>
      <c r="F551" s="10"/>
      <c r="G551" s="3">
        <f>0.19*F551</f>
        <v>0</v>
      </c>
      <c r="H551" s="3">
        <f>0.001756667*F551</f>
        <v>0</v>
      </c>
      <c r="I551" s="3"/>
      <c r="J551" s="3" t="s">
        <v>299</v>
      </c>
    </row>
    <row r="552" spans="1:10" ht="46.9" hidden="1" customHeight="1">
      <c r="A552" s="7" t="s">
        <v>355</v>
      </c>
      <c r="B552" s="4">
        <v>1101851</v>
      </c>
      <c r="C552" s="3"/>
      <c r="D552" s="9" t="s">
        <v>820</v>
      </c>
      <c r="E552" s="4">
        <v>6</v>
      </c>
      <c r="F552" s="10"/>
      <c r="G552" s="3">
        <f>0.18*F552</f>
        <v>0</v>
      </c>
      <c r="H552" s="3">
        <f>0.001580469*F552</f>
        <v>0</v>
      </c>
      <c r="I552" s="3"/>
      <c r="J552" s="3" t="s">
        <v>299</v>
      </c>
    </row>
    <row r="553" spans="1:10" ht="46.9" hidden="1" customHeight="1">
      <c r="A553" s="7" t="s">
        <v>355</v>
      </c>
      <c r="B553" s="4">
        <v>1101853</v>
      </c>
      <c r="C553" s="3"/>
      <c r="D553" s="9" t="s">
        <v>821</v>
      </c>
      <c r="E553" s="4">
        <v>6</v>
      </c>
      <c r="F553" s="10"/>
      <c r="G553" s="3">
        <f>0.16*F553</f>
        <v>0</v>
      </c>
      <c r="H553" s="3">
        <f>0.001192625*F553</f>
        <v>0</v>
      </c>
      <c r="I553" s="3"/>
      <c r="J553" s="3" t="s">
        <v>299</v>
      </c>
    </row>
    <row r="554" spans="1:10" ht="46.9" hidden="1" customHeight="1">
      <c r="A554" s="7" t="s">
        <v>355</v>
      </c>
      <c r="B554" s="4">
        <v>1101854</v>
      </c>
      <c r="C554" s="3"/>
      <c r="D554" s="9" t="s">
        <v>822</v>
      </c>
      <c r="E554" s="4">
        <v>6</v>
      </c>
      <c r="F554" s="10"/>
      <c r="G554" s="3">
        <f>0.19*F554</f>
        <v>0</v>
      </c>
      <c r="H554" s="3">
        <f>0.001028125*F554</f>
        <v>0</v>
      </c>
      <c r="I554" s="3"/>
      <c r="J554" s="3" t="s">
        <v>299</v>
      </c>
    </row>
    <row r="555" spans="1:10" ht="46.9" hidden="1" customHeight="1">
      <c r="A555" s="7" t="s">
        <v>360</v>
      </c>
      <c r="B555" s="4">
        <v>1101867</v>
      </c>
      <c r="C555" s="3"/>
      <c r="D555" s="9" t="s">
        <v>823</v>
      </c>
      <c r="E555" s="4">
        <v>10</v>
      </c>
      <c r="F555" s="10"/>
      <c r="G555" s="3">
        <f>0.22*F555</f>
        <v>0</v>
      </c>
      <c r="H555" s="3">
        <f>0.001627031*F555</f>
        <v>0</v>
      </c>
      <c r="I555" s="3"/>
      <c r="J555" s="3" t="s">
        <v>299</v>
      </c>
    </row>
    <row r="556" spans="1:10" ht="46.9" hidden="1" customHeight="1">
      <c r="A556" s="7" t="s">
        <v>360</v>
      </c>
      <c r="B556" s="4">
        <v>1102058</v>
      </c>
      <c r="C556" s="3"/>
      <c r="D556" s="9" t="s">
        <v>824</v>
      </c>
      <c r="E556" s="4">
        <v>12</v>
      </c>
      <c r="F556" s="10"/>
      <c r="G556" s="3">
        <f>0.08*F556</f>
        <v>0</v>
      </c>
      <c r="H556" s="3">
        <f>0.000552839*F556</f>
        <v>0</v>
      </c>
      <c r="I556" s="3"/>
      <c r="J556" s="3" t="s">
        <v>299</v>
      </c>
    </row>
    <row r="557" spans="1:10" ht="46.9" customHeight="1">
      <c r="A557" s="7" t="s">
        <v>355</v>
      </c>
      <c r="B557" s="4">
        <v>1102059</v>
      </c>
      <c r="C557" s="3"/>
      <c r="D557" s="9" t="s">
        <v>825</v>
      </c>
      <c r="E557" s="4">
        <v>12</v>
      </c>
      <c r="F557" s="10">
        <v>1</v>
      </c>
      <c r="G557" s="3">
        <f>0.06*F557</f>
        <v>0.06</v>
      </c>
      <c r="H557" s="3">
        <f>0.000336771*F557</f>
        <v>3.3677099999999998E-4</v>
      </c>
      <c r="I557" s="3"/>
      <c r="J557" s="3" t="s">
        <v>299</v>
      </c>
    </row>
    <row r="558" spans="1:10" ht="46.9" customHeight="1">
      <c r="A558" s="7" t="s">
        <v>360</v>
      </c>
      <c r="B558" s="4">
        <v>1102060</v>
      </c>
      <c r="C558" s="3"/>
      <c r="D558" s="9" t="s">
        <v>826</v>
      </c>
      <c r="E558" s="4">
        <v>12</v>
      </c>
      <c r="F558" s="10">
        <v>1</v>
      </c>
      <c r="G558" s="3">
        <f>0.09*F558</f>
        <v>0.09</v>
      </c>
      <c r="H558" s="3">
        <f>0.000739375*F558</f>
        <v>7.3937500000000001E-4</v>
      </c>
      <c r="I558" s="3"/>
      <c r="J558" s="3" t="s">
        <v>299</v>
      </c>
    </row>
    <row r="559" spans="1:10" ht="46.9" hidden="1" customHeight="1">
      <c r="A559" s="7" t="s">
        <v>355</v>
      </c>
      <c r="B559" s="4">
        <v>1104812</v>
      </c>
      <c r="C559" s="3"/>
      <c r="D559" s="9" t="s">
        <v>827</v>
      </c>
      <c r="E559" s="4">
        <v>12</v>
      </c>
      <c r="F559" s="10"/>
      <c r="G559" s="3">
        <f>0.11*F559</f>
        <v>0</v>
      </c>
      <c r="H559" s="3">
        <f>0.000505781*F559</f>
        <v>0</v>
      </c>
      <c r="I559" s="3"/>
      <c r="J559" s="3" t="s">
        <v>299</v>
      </c>
    </row>
    <row r="560" spans="1:10" ht="46.9" hidden="1" customHeight="1">
      <c r="A560" s="7" t="s">
        <v>355</v>
      </c>
      <c r="B560" s="4">
        <v>1104836</v>
      </c>
      <c r="C560" s="3"/>
      <c r="D560" s="9" t="s">
        <v>828</v>
      </c>
      <c r="E560" s="4">
        <v>12</v>
      </c>
      <c r="F560" s="10"/>
      <c r="G560" s="3">
        <f>0.12*F560</f>
        <v>0</v>
      </c>
      <c r="H560" s="3">
        <f>0.000508875*F560</f>
        <v>0</v>
      </c>
      <c r="I560" s="3"/>
      <c r="J560" s="3" t="s">
        <v>299</v>
      </c>
    </row>
    <row r="561" spans="1:10" ht="46.9" hidden="1" customHeight="1">
      <c r="A561" s="7" t="s">
        <v>355</v>
      </c>
      <c r="B561" s="4">
        <v>1109510</v>
      </c>
      <c r="C561" s="3"/>
      <c r="D561" s="9" t="s">
        <v>829</v>
      </c>
      <c r="E561" s="4">
        <v>25</v>
      </c>
      <c r="F561" s="10"/>
      <c r="G561" s="3">
        <f>0.11*F561</f>
        <v>0</v>
      </c>
      <c r="H561" s="3">
        <f>0.00040572*F561</f>
        <v>0</v>
      </c>
      <c r="I561" s="3"/>
      <c r="J561" s="3" t="s">
        <v>299</v>
      </c>
    </row>
    <row r="562" spans="1:10" ht="46.9" hidden="1" customHeight="1">
      <c r="A562" s="7" t="s">
        <v>355</v>
      </c>
      <c r="B562" s="4">
        <v>1109527</v>
      </c>
      <c r="C562" s="3"/>
      <c r="D562" s="9" t="s">
        <v>830</v>
      </c>
      <c r="E562" s="4">
        <v>25</v>
      </c>
      <c r="F562" s="10"/>
      <c r="G562" s="3">
        <f>0.11*F562</f>
        <v>0</v>
      </c>
      <c r="H562" s="3">
        <f>0.00044226*F562</f>
        <v>0</v>
      </c>
      <c r="I562" s="3"/>
      <c r="J562" s="3" t="s">
        <v>299</v>
      </c>
    </row>
    <row r="563" spans="1:10" ht="46.9" hidden="1" customHeight="1">
      <c r="A563" s="7" t="s">
        <v>355</v>
      </c>
      <c r="B563" s="4">
        <v>1109534</v>
      </c>
      <c r="C563" s="3"/>
      <c r="D563" s="9" t="s">
        <v>831</v>
      </c>
      <c r="E563" s="4">
        <v>25</v>
      </c>
      <c r="F563" s="10"/>
      <c r="G563" s="3">
        <f>0.11*F563</f>
        <v>0</v>
      </c>
      <c r="H563" s="3">
        <f>0.000326813*F563</f>
        <v>0</v>
      </c>
      <c r="I563" s="3"/>
      <c r="J563" s="3" t="s">
        <v>299</v>
      </c>
    </row>
    <row r="564" spans="1:10" ht="46.9" customHeight="1">
      <c r="A564" s="7" t="s">
        <v>360</v>
      </c>
      <c r="B564" s="4">
        <v>1101477</v>
      </c>
      <c r="C564" s="3"/>
      <c r="D564" s="9" t="s">
        <v>832</v>
      </c>
      <c r="E564" s="4">
        <v>18</v>
      </c>
      <c r="F564" s="10">
        <v>1</v>
      </c>
      <c r="G564" s="3">
        <f>0.45*F564</f>
        <v>0.45</v>
      </c>
      <c r="H564" s="3">
        <f>0.00146*F564</f>
        <v>1.4599999999999999E-3</v>
      </c>
      <c r="I564" s="3"/>
      <c r="J564" s="3" t="s">
        <v>299</v>
      </c>
    </row>
    <row r="565" spans="1:10" ht="46.9" customHeight="1">
      <c r="A565" s="7" t="s">
        <v>355</v>
      </c>
      <c r="B565" s="4">
        <v>1101552</v>
      </c>
      <c r="C565" s="3"/>
      <c r="D565" s="9" t="s">
        <v>833</v>
      </c>
      <c r="E565" s="4">
        <v>10</v>
      </c>
      <c r="F565" s="10">
        <v>2</v>
      </c>
      <c r="G565" s="3">
        <f>0.1*F565</f>
        <v>0.2</v>
      </c>
      <c r="H565" s="3">
        <f>0.000283906*F565</f>
        <v>5.67812E-4</v>
      </c>
      <c r="I565" s="3"/>
      <c r="J565" s="3" t="s">
        <v>299</v>
      </c>
    </row>
    <row r="566" spans="1:10" ht="46.9" hidden="1" customHeight="1">
      <c r="A566" s="7" t="s">
        <v>360</v>
      </c>
      <c r="B566" s="4">
        <v>1105291</v>
      </c>
      <c r="C566" s="3"/>
      <c r="D566" s="9" t="s">
        <v>834</v>
      </c>
      <c r="E566" s="4">
        <v>120</v>
      </c>
      <c r="F566" s="10"/>
      <c r="G566" s="3">
        <f>0.13*F566</f>
        <v>0</v>
      </c>
      <c r="H566" s="3">
        <f>0.000493567*F566</f>
        <v>0</v>
      </c>
      <c r="I566" s="3"/>
      <c r="J566" s="3" t="s">
        <v>299</v>
      </c>
    </row>
    <row r="567" spans="1:10" ht="46.9" hidden="1" customHeight="1">
      <c r="A567" s="7" t="s">
        <v>360</v>
      </c>
      <c r="B567" s="4">
        <v>1105369</v>
      </c>
      <c r="C567" s="3"/>
      <c r="D567" s="9" t="s">
        <v>835</v>
      </c>
      <c r="E567" s="4">
        <v>6</v>
      </c>
      <c r="F567" s="10"/>
      <c r="G567" s="3">
        <f>0.39*F567</f>
        <v>0</v>
      </c>
      <c r="H567" s="3">
        <f>0.0007128*F567</f>
        <v>0</v>
      </c>
      <c r="I567" s="3"/>
      <c r="J567" s="3" t="s">
        <v>299</v>
      </c>
    </row>
    <row r="568" spans="1:10" ht="46.9" hidden="1" customHeight="1">
      <c r="A568" s="7" t="s">
        <v>355</v>
      </c>
      <c r="B568" s="4">
        <v>1105420</v>
      </c>
      <c r="C568" s="3"/>
      <c r="D568" s="9" t="s">
        <v>836</v>
      </c>
      <c r="E568" s="4">
        <v>24</v>
      </c>
      <c r="F568" s="10"/>
      <c r="G568" s="3">
        <f>0.24*F568</f>
        <v>0</v>
      </c>
      <c r="H568" s="3">
        <f>0.000673313*F568</f>
        <v>0</v>
      </c>
      <c r="I568" s="3"/>
      <c r="J568" s="3" t="s">
        <v>299</v>
      </c>
    </row>
    <row r="569" spans="1:10" ht="46.9" hidden="1" customHeight="1">
      <c r="A569" s="7" t="s">
        <v>355</v>
      </c>
      <c r="B569" s="4">
        <v>1105444</v>
      </c>
      <c r="C569" s="3"/>
      <c r="D569" s="9" t="s">
        <v>837</v>
      </c>
      <c r="E569" s="4">
        <v>60</v>
      </c>
      <c r="F569" s="10"/>
      <c r="G569" s="3">
        <f>0.25*F569</f>
        <v>0</v>
      </c>
      <c r="H569" s="3">
        <f>0.001376233*F569</f>
        <v>0</v>
      </c>
      <c r="I569" s="3"/>
      <c r="J569" s="3" t="s">
        <v>299</v>
      </c>
    </row>
    <row r="570" spans="1:10" ht="46.9" hidden="1" customHeight="1">
      <c r="A570" s="7" t="s">
        <v>355</v>
      </c>
      <c r="B570" s="4">
        <v>1105475</v>
      </c>
      <c r="C570" s="3"/>
      <c r="D570" s="9" t="s">
        <v>838</v>
      </c>
      <c r="E570" s="4">
        <v>60</v>
      </c>
      <c r="F570" s="10"/>
      <c r="G570" s="3">
        <f>0.27*F570</f>
        <v>0</v>
      </c>
      <c r="H570" s="3">
        <f>0.002254*F570</f>
        <v>0</v>
      </c>
      <c r="I570" s="3"/>
      <c r="J570" s="3" t="s">
        <v>299</v>
      </c>
    </row>
    <row r="571" spans="1:10" ht="46.9" hidden="1" customHeight="1">
      <c r="A571" s="7" t="s">
        <v>355</v>
      </c>
      <c r="B571" s="4">
        <v>1105505</v>
      </c>
      <c r="C571" s="3"/>
      <c r="D571" s="9" t="s">
        <v>839</v>
      </c>
      <c r="E571" s="4">
        <v>12</v>
      </c>
      <c r="F571" s="10"/>
      <c r="G571" s="3">
        <f>0.11*F571</f>
        <v>0</v>
      </c>
      <c r="H571" s="3">
        <f>0.001176188*F571</f>
        <v>0</v>
      </c>
      <c r="I571" s="3"/>
      <c r="J571" s="3" t="s">
        <v>299</v>
      </c>
    </row>
    <row r="572" spans="1:10" ht="46.9" hidden="1" customHeight="1">
      <c r="A572" s="7" t="s">
        <v>355</v>
      </c>
      <c r="B572" s="4">
        <v>1105710</v>
      </c>
      <c r="C572" s="3"/>
      <c r="D572" s="9" t="s">
        <v>840</v>
      </c>
      <c r="E572" s="4">
        <v>96</v>
      </c>
      <c r="F572" s="10"/>
      <c r="G572" s="3">
        <f>0.17*F572</f>
        <v>0</v>
      </c>
      <c r="H572" s="3">
        <f>0.001520313*F572</f>
        <v>0</v>
      </c>
      <c r="I572" s="3"/>
      <c r="J572" s="3" t="s">
        <v>299</v>
      </c>
    </row>
    <row r="573" spans="1:10" ht="46.9" hidden="1" customHeight="1">
      <c r="A573" s="7" t="s">
        <v>355</v>
      </c>
      <c r="B573" s="4">
        <v>1105900</v>
      </c>
      <c r="C573" s="3"/>
      <c r="D573" s="9" t="s">
        <v>841</v>
      </c>
      <c r="E573" s="4">
        <v>60</v>
      </c>
      <c r="F573" s="10"/>
      <c r="G573" s="3">
        <f>0.16*F573</f>
        <v>0</v>
      </c>
      <c r="H573" s="3">
        <f>0.000730438*F573</f>
        <v>0</v>
      </c>
      <c r="I573" s="3"/>
      <c r="J573" s="3" t="s">
        <v>299</v>
      </c>
    </row>
    <row r="574" spans="1:10" ht="46.9" hidden="1" customHeight="1">
      <c r="A574" s="7" t="s">
        <v>355</v>
      </c>
      <c r="B574" s="4">
        <v>1105901</v>
      </c>
      <c r="C574" s="3"/>
      <c r="D574" s="9" t="s">
        <v>842</v>
      </c>
      <c r="E574" s="4">
        <v>60</v>
      </c>
      <c r="F574" s="10"/>
      <c r="G574" s="3">
        <f>0.2*F574</f>
        <v>0</v>
      </c>
      <c r="H574" s="3">
        <f>0.000871813*F574</f>
        <v>0</v>
      </c>
      <c r="I574" s="3"/>
      <c r="J574" s="3" t="s">
        <v>299</v>
      </c>
    </row>
    <row r="575" spans="1:10" ht="46.9" hidden="1" customHeight="1">
      <c r="A575" s="7" t="s">
        <v>355</v>
      </c>
      <c r="B575" s="4">
        <v>1105902</v>
      </c>
      <c r="C575" s="3"/>
      <c r="D575" s="9" t="s">
        <v>843</v>
      </c>
      <c r="E575" s="4">
        <v>60</v>
      </c>
      <c r="F575" s="10"/>
      <c r="G575" s="3">
        <f>0.2*F575</f>
        <v>0</v>
      </c>
      <c r="H575" s="3">
        <f>0.00082875*F575</f>
        <v>0</v>
      </c>
      <c r="I575" s="3"/>
      <c r="J575" s="3" t="s">
        <v>299</v>
      </c>
    </row>
    <row r="576" spans="1:10" ht="46.9" hidden="1" customHeight="1">
      <c r="A576" s="7" t="s">
        <v>355</v>
      </c>
      <c r="B576" s="4">
        <v>1109381</v>
      </c>
      <c r="C576" s="3"/>
      <c r="D576" s="9" t="s">
        <v>844</v>
      </c>
      <c r="E576" s="4">
        <v>6</v>
      </c>
      <c r="F576" s="10"/>
      <c r="G576" s="3">
        <f>0.27*F576</f>
        <v>0</v>
      </c>
      <c r="H576" s="3">
        <f>0.000714938*F576</f>
        <v>0</v>
      </c>
      <c r="I576" s="3"/>
      <c r="J576" s="3" t="s">
        <v>299</v>
      </c>
    </row>
    <row r="577" spans="1:10" ht="46.9" customHeight="1">
      <c r="A577" s="7" t="s">
        <v>360</v>
      </c>
      <c r="B577" s="4">
        <v>1107301</v>
      </c>
      <c r="C577" s="3"/>
      <c r="D577" s="9" t="s">
        <v>845</v>
      </c>
      <c r="E577" s="4">
        <v>24</v>
      </c>
      <c r="F577" s="10">
        <v>2</v>
      </c>
      <c r="G577" s="3">
        <f>0.37*F577</f>
        <v>0.74</v>
      </c>
      <c r="H577" s="3">
        <f>0.000940625*F577</f>
        <v>1.8812499999999999E-3</v>
      </c>
      <c r="I577" s="3"/>
      <c r="J577" s="3" t="s">
        <v>299</v>
      </c>
    </row>
    <row r="578" spans="1:10" ht="46.9" hidden="1" customHeight="1">
      <c r="A578" s="7" t="s">
        <v>360</v>
      </c>
      <c r="B578" s="4">
        <v>1107318</v>
      </c>
      <c r="C578" s="3"/>
      <c r="D578" s="9" t="s">
        <v>846</v>
      </c>
      <c r="E578" s="4">
        <v>24</v>
      </c>
      <c r="F578" s="10"/>
      <c r="G578" s="3">
        <f>0.47*F578</f>
        <v>0</v>
      </c>
      <c r="H578" s="3">
        <f>0.001023458*F578</f>
        <v>0</v>
      </c>
      <c r="I578" s="3"/>
      <c r="J578" s="3" t="s">
        <v>299</v>
      </c>
    </row>
    <row r="579" spans="1:10" ht="46.9" customHeight="1">
      <c r="A579" s="7" t="s">
        <v>360</v>
      </c>
      <c r="B579" s="4">
        <v>1107332</v>
      </c>
      <c r="C579" s="3"/>
      <c r="D579" s="9" t="s">
        <v>847</v>
      </c>
      <c r="E579" s="4">
        <v>24</v>
      </c>
      <c r="F579" s="10">
        <v>1</v>
      </c>
      <c r="G579" s="3">
        <f>0.41*F579</f>
        <v>0.41</v>
      </c>
      <c r="H579" s="3">
        <f>0.000542823*F579</f>
        <v>5.42823E-4</v>
      </c>
      <c r="I579" s="3"/>
      <c r="J579" s="3" t="s">
        <v>299</v>
      </c>
    </row>
    <row r="580" spans="1:10" ht="46.9" hidden="1" customHeight="1">
      <c r="A580" s="7" t="s">
        <v>355</v>
      </c>
      <c r="B580" s="4">
        <v>1107349</v>
      </c>
      <c r="C580" s="3"/>
      <c r="D580" s="9" t="s">
        <v>848</v>
      </c>
      <c r="E580" s="4">
        <v>24</v>
      </c>
      <c r="F580" s="10"/>
      <c r="G580" s="3">
        <f>0.24*F580</f>
        <v>0</v>
      </c>
      <c r="H580" s="3">
        <f>0.00051975*F580</f>
        <v>0</v>
      </c>
      <c r="I580" s="3"/>
      <c r="J580" s="3" t="s">
        <v>299</v>
      </c>
    </row>
    <row r="581" spans="1:10" ht="46.9" hidden="1" customHeight="1">
      <c r="A581" s="7" t="s">
        <v>355</v>
      </c>
      <c r="B581" s="4">
        <v>1107356</v>
      </c>
      <c r="C581" s="3"/>
      <c r="D581" s="9" t="s">
        <v>849</v>
      </c>
      <c r="E581" s="4">
        <v>24</v>
      </c>
      <c r="F581" s="10"/>
      <c r="G581" s="3">
        <f>0.39*F581</f>
        <v>0</v>
      </c>
      <c r="H581" s="3">
        <f>0.000366667*F581</f>
        <v>0</v>
      </c>
      <c r="I581" s="3"/>
      <c r="J581" s="3" t="s">
        <v>299</v>
      </c>
    </row>
    <row r="582" spans="1:10" ht="46.9" customHeight="1">
      <c r="A582" s="7" t="s">
        <v>360</v>
      </c>
      <c r="B582" s="4">
        <v>1107837</v>
      </c>
      <c r="C582" s="3"/>
      <c r="D582" s="9" t="s">
        <v>850</v>
      </c>
      <c r="E582" s="4">
        <v>12</v>
      </c>
      <c r="F582" s="10">
        <v>2</v>
      </c>
      <c r="G582" s="3">
        <f>0.3*F582</f>
        <v>0.6</v>
      </c>
      <c r="H582" s="3">
        <f>0.001272375*F582</f>
        <v>2.5447500000000001E-3</v>
      </c>
      <c r="I582" s="3"/>
      <c r="J582" s="3" t="s">
        <v>299</v>
      </c>
    </row>
    <row r="583" spans="1:10" ht="46.9" hidden="1" customHeight="1">
      <c r="A583" s="7" t="s">
        <v>360</v>
      </c>
      <c r="B583" s="4">
        <v>3501824</v>
      </c>
      <c r="C583" s="3"/>
      <c r="D583" s="9" t="s">
        <v>851</v>
      </c>
      <c r="E583" s="4">
        <v>24</v>
      </c>
      <c r="F583" s="10"/>
      <c r="G583" s="3">
        <f>0.45*F583</f>
        <v>0</v>
      </c>
      <c r="H583" s="3">
        <f>0.002213333*F583</f>
        <v>0</v>
      </c>
      <c r="I583" s="3"/>
      <c r="J583" s="3" t="s">
        <v>299</v>
      </c>
    </row>
    <row r="584" spans="1:10" ht="46.9" hidden="1" customHeight="1">
      <c r="A584" s="7" t="s">
        <v>360</v>
      </c>
      <c r="B584" s="4">
        <v>3501879</v>
      </c>
      <c r="C584" s="3"/>
      <c r="D584" s="9" t="s">
        <v>852</v>
      </c>
      <c r="E584" s="4">
        <v>24</v>
      </c>
      <c r="F584" s="10"/>
      <c r="G584" s="3">
        <f>0.48*F584</f>
        <v>0</v>
      </c>
      <c r="H584" s="3">
        <f>0.003018625*F584</f>
        <v>0</v>
      </c>
      <c r="I584" s="3"/>
      <c r="J584" s="3" t="s">
        <v>299</v>
      </c>
    </row>
    <row r="585" spans="1:10" ht="46.9" hidden="1" customHeight="1">
      <c r="A585" s="7" t="s">
        <v>360</v>
      </c>
      <c r="B585" s="4">
        <v>1106854</v>
      </c>
      <c r="C585" s="3"/>
      <c r="D585" s="9" t="s">
        <v>853</v>
      </c>
      <c r="E585" s="4">
        <v>6</v>
      </c>
      <c r="F585" s="10"/>
      <c r="G585" s="3">
        <f>1.01*F585</f>
        <v>0</v>
      </c>
      <c r="H585" s="3">
        <f>0.013436563*F585</f>
        <v>0</v>
      </c>
      <c r="I585" s="3"/>
      <c r="J585" s="3" t="s">
        <v>299</v>
      </c>
    </row>
    <row r="586" spans="1:10" ht="46.9" hidden="1" customHeight="1">
      <c r="A586" s="7" t="s">
        <v>360</v>
      </c>
      <c r="B586" s="4">
        <v>1109473</v>
      </c>
      <c r="C586" s="3"/>
      <c r="D586" s="9" t="s">
        <v>854</v>
      </c>
      <c r="E586" s="4">
        <v>12</v>
      </c>
      <c r="F586" s="10"/>
      <c r="G586" s="3">
        <f>0.31*F586</f>
        <v>0</v>
      </c>
      <c r="H586" s="3">
        <f>0.00189125*F586</f>
        <v>0</v>
      </c>
      <c r="I586" s="3"/>
      <c r="J586" s="3" t="s">
        <v>299</v>
      </c>
    </row>
    <row r="587" spans="1:10" ht="46.9" hidden="1" customHeight="1">
      <c r="A587" s="7" t="s">
        <v>360</v>
      </c>
      <c r="B587" s="4">
        <v>1109503</v>
      </c>
      <c r="C587" s="3"/>
      <c r="D587" s="9" t="s">
        <v>855</v>
      </c>
      <c r="E587" s="4">
        <v>12</v>
      </c>
      <c r="F587" s="10"/>
      <c r="G587" s="3">
        <f>0.49*F587</f>
        <v>0</v>
      </c>
      <c r="H587" s="3">
        <f>0.003849609*F587</f>
        <v>0</v>
      </c>
      <c r="I587" s="3"/>
      <c r="J587" s="3" t="s">
        <v>299</v>
      </c>
    </row>
    <row r="588" spans="1:10" ht="46.9" hidden="1" customHeight="1">
      <c r="A588" s="7" t="s">
        <v>355</v>
      </c>
      <c r="B588" s="4">
        <v>1109485</v>
      </c>
      <c r="C588" s="3"/>
      <c r="D588" s="9" t="s">
        <v>856</v>
      </c>
      <c r="E588" s="4">
        <v>12</v>
      </c>
      <c r="F588" s="10"/>
      <c r="G588" s="3">
        <f>0.35*F588</f>
        <v>0</v>
      </c>
      <c r="H588" s="3">
        <f>0.002266667*F588</f>
        <v>0</v>
      </c>
      <c r="I588" s="3"/>
      <c r="J588" s="3" t="s">
        <v>299</v>
      </c>
    </row>
    <row r="589" spans="1:10" ht="46.9" hidden="1" customHeight="1">
      <c r="A589" s="7" t="s">
        <v>355</v>
      </c>
      <c r="B589" s="4">
        <v>1109499</v>
      </c>
      <c r="C589" s="3"/>
      <c r="D589" s="9" t="s">
        <v>857</v>
      </c>
      <c r="E589" s="4">
        <v>12</v>
      </c>
      <c r="F589" s="10"/>
      <c r="G589" s="3">
        <f>0.44*F589</f>
        <v>0</v>
      </c>
      <c r="H589" s="3">
        <f>0.003350417*F589</f>
        <v>0</v>
      </c>
      <c r="I589" s="3"/>
      <c r="J589" s="3" t="s">
        <v>299</v>
      </c>
    </row>
    <row r="590" spans="1:10" ht="46.9" hidden="1" customHeight="1">
      <c r="A590" s="7" t="s">
        <v>360</v>
      </c>
      <c r="B590" s="4">
        <v>1100007</v>
      </c>
      <c r="C590" s="3"/>
      <c r="D590" s="9" t="s">
        <v>858</v>
      </c>
      <c r="E590" s="4">
        <v>24</v>
      </c>
      <c r="F590" s="10"/>
      <c r="G590" s="3">
        <f>0.1*F590</f>
        <v>0</v>
      </c>
      <c r="H590" s="3">
        <f>0.00029725*F590</f>
        <v>0</v>
      </c>
      <c r="I590" s="3"/>
      <c r="J590" s="3" t="s">
        <v>299</v>
      </c>
    </row>
    <row r="591" spans="1:10" ht="46.9" hidden="1" customHeight="1">
      <c r="A591" s="7" t="s">
        <v>360</v>
      </c>
      <c r="B591" s="4">
        <v>1100008</v>
      </c>
      <c r="C591" s="3"/>
      <c r="D591" s="9" t="s">
        <v>859</v>
      </c>
      <c r="E591" s="4">
        <v>24</v>
      </c>
      <c r="F591" s="10"/>
      <c r="G591" s="3">
        <f>0.12*F591</f>
        <v>0</v>
      </c>
      <c r="H591" s="3">
        <f>0.000369*F591</f>
        <v>0</v>
      </c>
      <c r="I591" s="3"/>
      <c r="J591" s="3" t="s">
        <v>299</v>
      </c>
    </row>
    <row r="592" spans="1:10" ht="46.9" hidden="1" customHeight="1">
      <c r="A592" s="7" t="s">
        <v>360</v>
      </c>
      <c r="B592" s="4">
        <v>1100009</v>
      </c>
      <c r="C592" s="3"/>
      <c r="D592" s="9" t="s">
        <v>860</v>
      </c>
      <c r="E592" s="4">
        <v>24</v>
      </c>
      <c r="F592" s="10"/>
      <c r="G592" s="3">
        <f>0.1*F592</f>
        <v>0</v>
      </c>
      <c r="H592" s="3">
        <f>0.00035525*F592</f>
        <v>0</v>
      </c>
      <c r="I592" s="3"/>
      <c r="J592" s="3" t="s">
        <v>299</v>
      </c>
    </row>
    <row r="593" spans="1:10" ht="46.9" customHeight="1">
      <c r="A593" s="7" t="s">
        <v>360</v>
      </c>
      <c r="B593" s="4">
        <v>1100010</v>
      </c>
      <c r="C593" s="3"/>
      <c r="D593" s="9" t="s">
        <v>861</v>
      </c>
      <c r="E593" s="4">
        <v>24</v>
      </c>
      <c r="F593" s="10">
        <v>2</v>
      </c>
      <c r="G593" s="3">
        <f>0.13*F593</f>
        <v>0.26</v>
      </c>
      <c r="H593" s="3">
        <f>0.000410083*F593</f>
        <v>8.2016599999999999E-4</v>
      </c>
      <c r="I593" s="3"/>
      <c r="J593" s="3" t="s">
        <v>299</v>
      </c>
    </row>
    <row r="594" spans="1:10" ht="46.9" hidden="1" customHeight="1">
      <c r="A594" s="7" t="s">
        <v>355</v>
      </c>
      <c r="B594" s="4">
        <v>3600312</v>
      </c>
      <c r="C594" s="3"/>
      <c r="D594" s="9" t="s">
        <v>862</v>
      </c>
      <c r="E594" s="4">
        <v>15</v>
      </c>
      <c r="F594" s="10"/>
      <c r="G594" s="3">
        <f>0.08*F594</f>
        <v>0</v>
      </c>
      <c r="H594" s="3">
        <f>0.00032725*F594</f>
        <v>0</v>
      </c>
      <c r="I594" s="3"/>
      <c r="J594" s="3" t="s">
        <v>299</v>
      </c>
    </row>
    <row r="595" spans="1:10" ht="46.9" hidden="1" customHeight="1">
      <c r="A595" s="7" t="s">
        <v>355</v>
      </c>
      <c r="B595" s="4">
        <v>3600329</v>
      </c>
      <c r="C595" s="3"/>
      <c r="D595" s="9" t="s">
        <v>863</v>
      </c>
      <c r="E595" s="4">
        <v>15</v>
      </c>
      <c r="F595" s="10"/>
      <c r="G595" s="3">
        <f>0.08*F595</f>
        <v>0</v>
      </c>
      <c r="H595" s="3">
        <f>0.0003553*F595</f>
        <v>0</v>
      </c>
      <c r="I595" s="3"/>
      <c r="J595" s="3" t="s">
        <v>299</v>
      </c>
    </row>
    <row r="596" spans="1:10" ht="46.9" hidden="1" customHeight="1">
      <c r="A596" s="7" t="s">
        <v>355</v>
      </c>
      <c r="B596" s="4">
        <v>3700052</v>
      </c>
      <c r="C596" s="3"/>
      <c r="D596" s="9" t="s">
        <v>864</v>
      </c>
      <c r="E596" s="4">
        <v>12</v>
      </c>
      <c r="F596" s="10"/>
      <c r="G596" s="3">
        <f>0.22*F596</f>
        <v>0</v>
      </c>
      <c r="H596" s="3">
        <f>0.000621292*F596</f>
        <v>0</v>
      </c>
      <c r="I596" s="3"/>
      <c r="J596" s="3" t="s">
        <v>299</v>
      </c>
    </row>
    <row r="597" spans="1:10" ht="46.9" hidden="1" customHeight="1">
      <c r="A597" s="7" t="s">
        <v>355</v>
      </c>
      <c r="B597" s="4">
        <v>3700054</v>
      </c>
      <c r="C597" s="3"/>
      <c r="D597" s="9" t="s">
        <v>865</v>
      </c>
      <c r="E597" s="4">
        <v>12</v>
      </c>
      <c r="F597" s="10"/>
      <c r="G597" s="3">
        <f>0.19*F597</f>
        <v>0</v>
      </c>
      <c r="H597" s="3">
        <f>0.000492917*F597</f>
        <v>0</v>
      </c>
      <c r="I597" s="3"/>
      <c r="J597" s="3" t="s">
        <v>299</v>
      </c>
    </row>
    <row r="598" spans="1:10" ht="46.9" hidden="1" customHeight="1">
      <c r="A598" s="7" t="s">
        <v>355</v>
      </c>
      <c r="B598" s="4">
        <v>3700057</v>
      </c>
      <c r="C598" s="3"/>
      <c r="D598" s="9" t="s">
        <v>866</v>
      </c>
      <c r="E598" s="4">
        <v>1</v>
      </c>
      <c r="F598" s="10"/>
      <c r="G598" s="3">
        <f>0.42*F598</f>
        <v>0</v>
      </c>
      <c r="H598" s="3">
        <f>0.0008875*F598</f>
        <v>0</v>
      </c>
      <c r="I598" s="3"/>
      <c r="J598" s="3" t="s">
        <v>299</v>
      </c>
    </row>
    <row r="599" spans="1:10" ht="46.9" hidden="1" customHeight="1">
      <c r="A599" s="7" t="s">
        <v>355</v>
      </c>
      <c r="B599" s="4">
        <v>3700058</v>
      </c>
      <c r="C599" s="3"/>
      <c r="D599" s="9" t="s">
        <v>867</v>
      </c>
      <c r="E599" s="4">
        <v>12</v>
      </c>
      <c r="F599" s="10"/>
      <c r="G599" s="3">
        <f>0.15*F599</f>
        <v>0</v>
      </c>
      <c r="H599" s="3">
        <f>0.000246528*F599</f>
        <v>0</v>
      </c>
      <c r="I599" s="3"/>
      <c r="J599" s="3" t="s">
        <v>299</v>
      </c>
    </row>
    <row r="600" spans="1:10" ht="46.9" hidden="1" customHeight="1">
      <c r="A600" s="7" t="s">
        <v>355</v>
      </c>
      <c r="B600" s="4">
        <v>3700060</v>
      </c>
      <c r="C600" s="3"/>
      <c r="D600" s="9" t="s">
        <v>868</v>
      </c>
      <c r="E600" s="4">
        <v>12</v>
      </c>
      <c r="F600" s="10"/>
      <c r="G600" s="3">
        <f>0.11*F600</f>
        <v>0</v>
      </c>
      <c r="H600" s="3">
        <f>0.000158625*F600</f>
        <v>0</v>
      </c>
      <c r="I600" s="3"/>
      <c r="J600" s="3" t="s">
        <v>299</v>
      </c>
    </row>
    <row r="601" spans="1:10" ht="46.9" hidden="1" customHeight="1">
      <c r="A601" s="7" t="s">
        <v>355</v>
      </c>
      <c r="B601" s="4">
        <v>3800023</v>
      </c>
      <c r="C601" s="3"/>
      <c r="D601" s="9" t="s">
        <v>869</v>
      </c>
      <c r="E601" s="4">
        <v>12</v>
      </c>
      <c r="F601" s="10"/>
      <c r="G601" s="3">
        <f>1.8*F601</f>
        <v>0</v>
      </c>
      <c r="H601" s="3">
        <f>0.009469688*F601</f>
        <v>0</v>
      </c>
      <c r="I601" s="3"/>
      <c r="J601" s="3" t="s">
        <v>299</v>
      </c>
    </row>
    <row r="602" spans="1:10" ht="46.9" hidden="1" customHeight="1">
      <c r="A602" s="7" t="s">
        <v>355</v>
      </c>
      <c r="B602" s="4">
        <v>3800024</v>
      </c>
      <c r="C602" s="3"/>
      <c r="D602" s="9" t="s">
        <v>870</v>
      </c>
      <c r="E602" s="4">
        <v>12</v>
      </c>
      <c r="F602" s="10"/>
      <c r="G602" s="3">
        <f>0.78*F602</f>
        <v>0</v>
      </c>
      <c r="H602" s="3">
        <f>0.005076*F602</f>
        <v>0</v>
      </c>
      <c r="I602" s="3"/>
      <c r="J602" s="3" t="s">
        <v>299</v>
      </c>
    </row>
    <row r="603" spans="1:10" ht="46.9" hidden="1" customHeight="1">
      <c r="A603" s="7" t="s">
        <v>360</v>
      </c>
      <c r="B603" s="4">
        <v>3950005</v>
      </c>
      <c r="C603" s="3"/>
      <c r="D603" s="9" t="s">
        <v>871</v>
      </c>
      <c r="E603" s="4">
        <v>12</v>
      </c>
      <c r="F603" s="10"/>
      <c r="G603" s="3">
        <f>0.09*F603</f>
        <v>0</v>
      </c>
      <c r="H603" s="3">
        <f>0.000517563*F603</f>
        <v>0</v>
      </c>
      <c r="I603" s="3"/>
      <c r="J603" s="3" t="s">
        <v>299</v>
      </c>
    </row>
    <row r="604" spans="1:10" ht="46.9" hidden="1" customHeight="1">
      <c r="A604" s="7" t="s">
        <v>355</v>
      </c>
      <c r="B604" s="4">
        <v>3950006</v>
      </c>
      <c r="C604" s="3"/>
      <c r="D604" s="9" t="s">
        <v>872</v>
      </c>
      <c r="E604" s="4">
        <v>12</v>
      </c>
      <c r="F604" s="10"/>
      <c r="G604" s="3">
        <f>0.09*F604</f>
        <v>0</v>
      </c>
      <c r="H604" s="3">
        <f>0.000517563*F604</f>
        <v>0</v>
      </c>
      <c r="I604" s="3"/>
      <c r="J604" s="3" t="s">
        <v>299</v>
      </c>
    </row>
    <row r="605" spans="1:10" ht="46.9" hidden="1" customHeight="1">
      <c r="A605" s="7" t="s">
        <v>355</v>
      </c>
      <c r="B605" s="4">
        <v>3950119</v>
      </c>
      <c r="C605" s="3"/>
      <c r="D605" s="9" t="s">
        <v>873</v>
      </c>
      <c r="E605" s="4">
        <v>12</v>
      </c>
      <c r="F605" s="10"/>
      <c r="G605" s="3">
        <f>0.09*F605</f>
        <v>0</v>
      </c>
      <c r="H605" s="3">
        <f>0.000798188*F605</f>
        <v>0</v>
      </c>
      <c r="I605" s="3"/>
      <c r="J605" s="3" t="s">
        <v>299</v>
      </c>
    </row>
    <row r="606" spans="1:10" ht="46.9" customHeight="1">
      <c r="A606" s="7" t="s">
        <v>355</v>
      </c>
      <c r="B606" s="4">
        <v>3950001</v>
      </c>
      <c r="C606" s="3"/>
      <c r="D606" s="9" t="s">
        <v>874</v>
      </c>
      <c r="E606" s="4">
        <v>12</v>
      </c>
      <c r="F606" s="10">
        <v>1</v>
      </c>
      <c r="G606" s="3">
        <f>0.09*F606</f>
        <v>0.09</v>
      </c>
      <c r="H606" s="3">
        <f>0.000798188*F606</f>
        <v>7.9818800000000002E-4</v>
      </c>
      <c r="I606" s="3"/>
      <c r="J606" s="3" t="s">
        <v>299</v>
      </c>
    </row>
    <row r="607" spans="1:10" ht="46.9" customHeight="1">
      <c r="A607" s="7" t="s">
        <v>355</v>
      </c>
      <c r="B607" s="4">
        <v>3950003</v>
      </c>
      <c r="C607" s="3"/>
      <c r="D607" s="9" t="s">
        <v>875</v>
      </c>
      <c r="E607" s="4">
        <v>12</v>
      </c>
      <c r="F607" s="10">
        <v>1</v>
      </c>
      <c r="G607" s="3">
        <f>0.09*F607</f>
        <v>0.09</v>
      </c>
      <c r="H607" s="3">
        <f>0.000798188*F607</f>
        <v>7.9818800000000002E-4</v>
      </c>
      <c r="I607" s="3"/>
      <c r="J607" s="3" t="s">
        <v>299</v>
      </c>
    </row>
    <row r="608" spans="1:10" ht="46.9" hidden="1" customHeight="1">
      <c r="A608" s="7" t="s">
        <v>355</v>
      </c>
      <c r="B608" s="4">
        <v>3950047</v>
      </c>
      <c r="C608" s="3"/>
      <c r="D608" s="9" t="s">
        <v>876</v>
      </c>
      <c r="E608" s="4">
        <v>6</v>
      </c>
      <c r="F608" s="10"/>
      <c r="G608" s="3">
        <f>0.15*F608</f>
        <v>0</v>
      </c>
      <c r="H608" s="3">
        <f>0.001026667*F608</f>
        <v>0</v>
      </c>
      <c r="I608" s="3"/>
      <c r="J608" s="3" t="s">
        <v>299</v>
      </c>
    </row>
    <row r="609" spans="1:10" ht="46.9" hidden="1" customHeight="1">
      <c r="A609" s="7" t="s">
        <v>355</v>
      </c>
      <c r="B609" s="4">
        <v>3950007</v>
      </c>
      <c r="C609" s="3"/>
      <c r="D609" s="9" t="s">
        <v>877</v>
      </c>
      <c r="E609" s="4">
        <v>12</v>
      </c>
      <c r="F609" s="10"/>
      <c r="G609" s="3">
        <f>0.12*F609</f>
        <v>0</v>
      </c>
      <c r="H609" s="3">
        <f>0.001701*F609</f>
        <v>0</v>
      </c>
      <c r="I609" s="3"/>
      <c r="J609" s="3" t="s">
        <v>299</v>
      </c>
    </row>
    <row r="610" spans="1:10" ht="46.9" hidden="1" customHeight="1">
      <c r="A610" s="7" t="s">
        <v>355</v>
      </c>
      <c r="B610" s="4">
        <v>3950008</v>
      </c>
      <c r="C610" s="3"/>
      <c r="D610" s="9" t="s">
        <v>878</v>
      </c>
      <c r="E610" s="4">
        <v>12</v>
      </c>
      <c r="F610" s="10"/>
      <c r="G610" s="3">
        <f>0.12*F610</f>
        <v>0</v>
      </c>
      <c r="H610" s="3">
        <f>0.001701*F610</f>
        <v>0</v>
      </c>
      <c r="I610" s="3"/>
      <c r="J610" s="3" t="s">
        <v>299</v>
      </c>
    </row>
    <row r="611" spans="1:10" ht="46.9" hidden="1" customHeight="1">
      <c r="A611" s="7" t="s">
        <v>355</v>
      </c>
      <c r="B611" s="4">
        <v>3950009</v>
      </c>
      <c r="C611" s="3"/>
      <c r="D611" s="9" t="s">
        <v>879</v>
      </c>
      <c r="E611" s="4">
        <v>12</v>
      </c>
      <c r="F611" s="10"/>
      <c r="G611" s="3">
        <f>0.12*F611</f>
        <v>0</v>
      </c>
      <c r="H611" s="3">
        <f>0.000909271*F611</f>
        <v>0</v>
      </c>
      <c r="I611" s="3"/>
      <c r="J611" s="3" t="s">
        <v>299</v>
      </c>
    </row>
    <row r="612" spans="1:10" ht="46.9" hidden="1" customHeight="1">
      <c r="A612" s="7" t="s">
        <v>355</v>
      </c>
      <c r="B612" s="4">
        <v>3950010</v>
      </c>
      <c r="C612" s="3"/>
      <c r="D612" s="9" t="s">
        <v>880</v>
      </c>
      <c r="E612" s="4">
        <v>12</v>
      </c>
      <c r="F612" s="10"/>
      <c r="G612" s="3">
        <f>0.12*F612</f>
        <v>0</v>
      </c>
      <c r="H612" s="3">
        <f>0.000909271*F612</f>
        <v>0</v>
      </c>
      <c r="I612" s="3"/>
      <c r="J612" s="3" t="s">
        <v>299</v>
      </c>
    </row>
    <row r="613" spans="1:10" ht="46.9" hidden="1" customHeight="1">
      <c r="A613" s="7" t="s">
        <v>355</v>
      </c>
      <c r="B613" s="4">
        <v>3950011</v>
      </c>
      <c r="C613" s="3"/>
      <c r="D613" s="9" t="s">
        <v>881</v>
      </c>
      <c r="E613" s="4">
        <v>6</v>
      </c>
      <c r="F613" s="10"/>
      <c r="G613" s="3">
        <f>0.15*F613</f>
        <v>0</v>
      </c>
      <c r="H613" s="3">
        <f>0.001923458*F613</f>
        <v>0</v>
      </c>
      <c r="I613" s="3"/>
      <c r="J613" s="3" t="s">
        <v>299</v>
      </c>
    </row>
    <row r="614" spans="1:10" ht="46.9" hidden="1" customHeight="1">
      <c r="A614" s="7" t="s">
        <v>355</v>
      </c>
      <c r="B614" s="4">
        <v>3950012</v>
      </c>
      <c r="C614" s="3"/>
      <c r="D614" s="9" t="s">
        <v>882</v>
      </c>
      <c r="E614" s="4">
        <v>6</v>
      </c>
      <c r="F614" s="10"/>
      <c r="G614" s="3">
        <f>0.15*F614</f>
        <v>0</v>
      </c>
      <c r="H614" s="3">
        <f>0.00189475*F614</f>
        <v>0</v>
      </c>
      <c r="I614" s="3"/>
      <c r="J614" s="3" t="s">
        <v>299</v>
      </c>
    </row>
    <row r="615" spans="1:10" ht="46.9" hidden="1" customHeight="1">
      <c r="A615" s="7" t="s">
        <v>360</v>
      </c>
      <c r="B615" s="4">
        <v>3950013</v>
      </c>
      <c r="C615" s="3"/>
      <c r="D615" s="9" t="s">
        <v>883</v>
      </c>
      <c r="E615" s="4">
        <v>6</v>
      </c>
      <c r="F615" s="10"/>
      <c r="G615" s="3">
        <f>0.22*F615</f>
        <v>0</v>
      </c>
      <c r="H615" s="3">
        <f>0.00117658*F615</f>
        <v>0</v>
      </c>
      <c r="I615" s="3"/>
      <c r="J615" s="3" t="s">
        <v>299</v>
      </c>
    </row>
    <row r="616" spans="1:10" ht="46.9" hidden="1" customHeight="1">
      <c r="A616" s="7" t="s">
        <v>360</v>
      </c>
      <c r="B616" s="4">
        <v>3950014</v>
      </c>
      <c r="C616" s="3"/>
      <c r="D616" s="9" t="s">
        <v>884</v>
      </c>
      <c r="E616" s="4">
        <v>6</v>
      </c>
      <c r="F616" s="10"/>
      <c r="G616" s="3">
        <f>0.2*F616</f>
        <v>0</v>
      </c>
      <c r="H616" s="3">
        <f>0.003587986*F616</f>
        <v>0</v>
      </c>
      <c r="I616" s="3"/>
      <c r="J616" s="3" t="s">
        <v>299</v>
      </c>
    </row>
    <row r="617" spans="1:10" ht="46.9" hidden="1" customHeight="1">
      <c r="A617" s="7" t="s">
        <v>360</v>
      </c>
      <c r="B617" s="4">
        <v>3950015</v>
      </c>
      <c r="C617" s="3"/>
      <c r="D617" s="9" t="s">
        <v>885</v>
      </c>
      <c r="E617" s="4">
        <v>6</v>
      </c>
      <c r="F617" s="10"/>
      <c r="G617" s="3">
        <f>0.2*F617</f>
        <v>0</v>
      </c>
      <c r="H617" s="3">
        <f>0.003541389*F617</f>
        <v>0</v>
      </c>
      <c r="I617" s="3"/>
      <c r="J617" s="3" t="s">
        <v>299</v>
      </c>
    </row>
    <row r="618" spans="1:10" ht="46.9" hidden="1" customHeight="1">
      <c r="A618" s="7" t="s">
        <v>360</v>
      </c>
      <c r="B618" s="4">
        <v>3950016</v>
      </c>
      <c r="C618" s="3"/>
      <c r="D618" s="9" t="s">
        <v>886</v>
      </c>
      <c r="E618" s="4">
        <v>6</v>
      </c>
      <c r="F618" s="10"/>
      <c r="G618" s="3">
        <f>0.18*F618</f>
        <v>0</v>
      </c>
      <c r="H618" s="3">
        <f>0.003103444*F618</f>
        <v>0</v>
      </c>
      <c r="I618" s="3"/>
      <c r="J618" s="3" t="s">
        <v>299</v>
      </c>
    </row>
    <row r="619" spans="1:10" ht="46.9" hidden="1" customHeight="1">
      <c r="A619" s="7" t="s">
        <v>355</v>
      </c>
      <c r="B619" s="4">
        <v>3950017</v>
      </c>
      <c r="C619" s="3"/>
      <c r="D619" s="9" t="s">
        <v>887</v>
      </c>
      <c r="E619" s="4">
        <v>6</v>
      </c>
      <c r="F619" s="10"/>
      <c r="G619" s="3">
        <f>0.18*F619</f>
        <v>0</v>
      </c>
      <c r="H619" s="3">
        <f>0.003103444*F619</f>
        <v>0</v>
      </c>
      <c r="I619" s="3"/>
      <c r="J619" s="3" t="s">
        <v>299</v>
      </c>
    </row>
    <row r="620" spans="1:10" ht="46.9" hidden="1" customHeight="1">
      <c r="A620" s="7" t="s">
        <v>355</v>
      </c>
      <c r="B620" s="4">
        <v>3950048</v>
      </c>
      <c r="C620" s="3"/>
      <c r="D620" s="9" t="s">
        <v>888</v>
      </c>
      <c r="E620" s="4">
        <v>6</v>
      </c>
      <c r="F620" s="10"/>
      <c r="G620" s="3">
        <f>0.18*F620</f>
        <v>0</v>
      </c>
      <c r="H620" s="3">
        <f>0.003103444*F620</f>
        <v>0</v>
      </c>
      <c r="I620" s="3"/>
      <c r="J620" s="3" t="s">
        <v>299</v>
      </c>
    </row>
    <row r="621" spans="1:10" ht="46.9" hidden="1" customHeight="1">
      <c r="A621" s="7" t="s">
        <v>360</v>
      </c>
      <c r="B621" s="4">
        <v>3950018</v>
      </c>
      <c r="C621" s="3"/>
      <c r="D621" s="9" t="s">
        <v>889</v>
      </c>
      <c r="E621" s="4">
        <v>6</v>
      </c>
      <c r="F621" s="10"/>
      <c r="G621" s="3">
        <f>0.38*F621</f>
        <v>0</v>
      </c>
      <c r="H621" s="3">
        <f>0.001523767*F621</f>
        <v>0</v>
      </c>
      <c r="I621" s="3"/>
      <c r="J621" s="3" t="s">
        <v>299</v>
      </c>
    </row>
    <row r="622" spans="1:10" ht="46.9" hidden="1" customHeight="1">
      <c r="A622" s="7" t="s">
        <v>360</v>
      </c>
      <c r="B622" s="4">
        <v>3950020</v>
      </c>
      <c r="C622" s="3"/>
      <c r="D622" s="9" t="s">
        <v>890</v>
      </c>
      <c r="E622" s="4">
        <v>6</v>
      </c>
      <c r="F622" s="10"/>
      <c r="G622" s="3">
        <f>0.48*F622</f>
        <v>0</v>
      </c>
      <c r="H622" s="3">
        <f>0.002348056*F622</f>
        <v>0</v>
      </c>
      <c r="I622" s="3"/>
      <c r="J622" s="3" t="s">
        <v>299</v>
      </c>
    </row>
    <row r="623" spans="1:10" ht="46.9" hidden="1" customHeight="1">
      <c r="A623" s="7" t="s">
        <v>355</v>
      </c>
      <c r="B623" s="4">
        <v>3950021</v>
      </c>
      <c r="C623" s="3"/>
      <c r="D623" s="9" t="s">
        <v>891</v>
      </c>
      <c r="E623" s="4">
        <v>24</v>
      </c>
      <c r="F623" s="10"/>
      <c r="G623" s="3">
        <f>0.57*F623</f>
        <v>0</v>
      </c>
      <c r="H623" s="3">
        <f>0.00223125*F623</f>
        <v>0</v>
      </c>
      <c r="I623" s="3"/>
      <c r="J623" s="3" t="s">
        <v>299</v>
      </c>
    </row>
    <row r="624" spans="1:10" ht="46.9" hidden="1" customHeight="1">
      <c r="A624" s="7" t="s">
        <v>360</v>
      </c>
      <c r="B624" s="4">
        <v>3950023</v>
      </c>
      <c r="C624" s="3"/>
      <c r="D624" s="9" t="s">
        <v>892</v>
      </c>
      <c r="E624" s="4">
        <v>12</v>
      </c>
      <c r="F624" s="10"/>
      <c r="G624" s="3">
        <f>0.11*F624</f>
        <v>0</v>
      </c>
      <c r="H624" s="3">
        <f>0.000298667*F624</f>
        <v>0</v>
      </c>
      <c r="I624" s="3"/>
      <c r="J624" s="3" t="s">
        <v>299</v>
      </c>
    </row>
    <row r="625" spans="1:10" ht="46.9" hidden="1" customHeight="1">
      <c r="A625" s="7" t="s">
        <v>360</v>
      </c>
      <c r="B625" s="4">
        <v>3950026</v>
      </c>
      <c r="C625" s="3"/>
      <c r="D625" s="9" t="s">
        <v>893</v>
      </c>
      <c r="E625" s="4">
        <v>12</v>
      </c>
      <c r="F625" s="10"/>
      <c r="G625" s="3">
        <f>0.12*F625</f>
        <v>0</v>
      </c>
      <c r="H625" s="3">
        <f>0.000273*F625</f>
        <v>0</v>
      </c>
      <c r="I625" s="3"/>
      <c r="J625" s="3" t="s">
        <v>299</v>
      </c>
    </row>
    <row r="626" spans="1:10" ht="46.9" hidden="1" customHeight="1">
      <c r="A626" s="7" t="s">
        <v>360</v>
      </c>
      <c r="B626" s="4">
        <v>3950030</v>
      </c>
      <c r="C626" s="3"/>
      <c r="D626" s="9" t="s">
        <v>894</v>
      </c>
      <c r="E626" s="4">
        <v>6</v>
      </c>
      <c r="F626" s="10"/>
      <c r="G626" s="3">
        <f>0.17*F626</f>
        <v>0</v>
      </c>
      <c r="H626" s="3">
        <f>0.001562222*F626</f>
        <v>0</v>
      </c>
      <c r="I626" s="3"/>
      <c r="J626" s="3" t="s">
        <v>299</v>
      </c>
    </row>
    <row r="627" spans="1:10" ht="46.9" hidden="1" customHeight="1">
      <c r="A627" s="7" t="s">
        <v>355</v>
      </c>
      <c r="B627" s="4">
        <v>3950067</v>
      </c>
      <c r="C627" s="3"/>
      <c r="D627" s="9" t="s">
        <v>895</v>
      </c>
      <c r="E627" s="4">
        <v>8</v>
      </c>
      <c r="F627" s="10"/>
      <c r="G627" s="3">
        <f>0.12*F627</f>
        <v>0</v>
      </c>
      <c r="H627" s="3">
        <f>0.000975*F627</f>
        <v>0</v>
      </c>
      <c r="I627" s="3"/>
      <c r="J627" s="3" t="s">
        <v>299</v>
      </c>
    </row>
    <row r="628" spans="1:10" ht="46.9" hidden="1" customHeight="1">
      <c r="A628" s="7" t="s">
        <v>355</v>
      </c>
      <c r="B628" s="4">
        <v>3950068</v>
      </c>
      <c r="C628" s="3"/>
      <c r="D628" s="9" t="s">
        <v>896</v>
      </c>
      <c r="E628" s="4">
        <v>6</v>
      </c>
      <c r="F628" s="10"/>
      <c r="G628" s="3">
        <f>0.19*F628</f>
        <v>0</v>
      </c>
      <c r="H628" s="3">
        <f>0.001332*F628</f>
        <v>0</v>
      </c>
      <c r="I628" s="3"/>
      <c r="J628" s="3" t="s">
        <v>299</v>
      </c>
    </row>
    <row r="629" spans="1:10" ht="46.9" hidden="1" customHeight="1">
      <c r="A629" s="7" t="s">
        <v>360</v>
      </c>
      <c r="B629" s="4">
        <v>3950069</v>
      </c>
      <c r="C629" s="3"/>
      <c r="D629" s="9" t="s">
        <v>897</v>
      </c>
      <c r="E629" s="4">
        <v>6</v>
      </c>
      <c r="F629" s="10"/>
      <c r="G629" s="3">
        <f>0.16*F629</f>
        <v>0</v>
      </c>
      <c r="H629" s="3">
        <f>0.001505222*F629</f>
        <v>0</v>
      </c>
      <c r="I629" s="3"/>
      <c r="J629" s="3" t="s">
        <v>299</v>
      </c>
    </row>
    <row r="630" spans="1:10" ht="46.9" hidden="1" customHeight="1">
      <c r="A630" s="7" t="s">
        <v>355</v>
      </c>
      <c r="B630" s="4">
        <v>3950070</v>
      </c>
      <c r="C630" s="3"/>
      <c r="D630" s="9" t="s">
        <v>898</v>
      </c>
      <c r="E630" s="4">
        <v>8</v>
      </c>
      <c r="F630" s="10"/>
      <c r="G630" s="3">
        <f>0.11*F630</f>
        <v>0</v>
      </c>
      <c r="H630" s="3">
        <f>0.000933333*F630</f>
        <v>0</v>
      </c>
      <c r="I630" s="3"/>
      <c r="J630" s="3" t="s">
        <v>299</v>
      </c>
    </row>
    <row r="631" spans="1:10" ht="46.9" hidden="1" customHeight="1">
      <c r="A631" s="7" t="s">
        <v>360</v>
      </c>
      <c r="B631" s="4">
        <v>3950089</v>
      </c>
      <c r="C631" s="3"/>
      <c r="D631" s="9" t="s">
        <v>899</v>
      </c>
      <c r="E631" s="4">
        <v>8</v>
      </c>
      <c r="F631" s="10"/>
      <c r="G631" s="3">
        <f>0.12*F631</f>
        <v>0</v>
      </c>
      <c r="H631" s="3">
        <f>0.000975*F631</f>
        <v>0</v>
      </c>
      <c r="I631" s="3"/>
      <c r="J631" s="3" t="s">
        <v>299</v>
      </c>
    </row>
    <row r="632" spans="1:10" ht="46.9" hidden="1" customHeight="1">
      <c r="A632" s="7" t="s">
        <v>355</v>
      </c>
      <c r="B632" s="4">
        <v>3950101</v>
      </c>
      <c r="C632" s="3"/>
      <c r="D632" s="9" t="s">
        <v>900</v>
      </c>
      <c r="E632" s="4">
        <v>6</v>
      </c>
      <c r="F632" s="10"/>
      <c r="G632" s="3">
        <f>0.19*F632</f>
        <v>0</v>
      </c>
      <c r="H632" s="3">
        <f>0.001332*F632</f>
        <v>0</v>
      </c>
      <c r="I632" s="3"/>
      <c r="J632" s="3" t="s">
        <v>299</v>
      </c>
    </row>
    <row r="633" spans="1:10" ht="46.9" hidden="1" customHeight="1">
      <c r="A633" s="7" t="s">
        <v>355</v>
      </c>
      <c r="B633" s="4">
        <v>3950103</v>
      </c>
      <c r="C633" s="3"/>
      <c r="D633" s="9" t="s">
        <v>901</v>
      </c>
      <c r="E633" s="4">
        <v>8</v>
      </c>
      <c r="F633" s="10"/>
      <c r="G633" s="3">
        <f>0.12*F633</f>
        <v>0</v>
      </c>
      <c r="H633" s="3">
        <f>0.000975*F633</f>
        <v>0</v>
      </c>
      <c r="I633" s="3"/>
      <c r="J633" s="3" t="s">
        <v>299</v>
      </c>
    </row>
    <row r="634" spans="1:10" ht="46.9" hidden="1" customHeight="1">
      <c r="A634" s="7" t="s">
        <v>360</v>
      </c>
      <c r="B634" s="4">
        <v>3950099</v>
      </c>
      <c r="C634" s="3"/>
      <c r="D634" s="9" t="s">
        <v>902</v>
      </c>
      <c r="E634" s="4">
        <v>8</v>
      </c>
      <c r="F634" s="10"/>
      <c r="G634" s="3">
        <f>0.12*F634</f>
        <v>0</v>
      </c>
      <c r="H634" s="3">
        <f>0.000975*F634</f>
        <v>0</v>
      </c>
      <c r="I634" s="3"/>
      <c r="J634" s="3" t="s">
        <v>299</v>
      </c>
    </row>
    <row r="635" spans="1:10" ht="46.9" hidden="1" customHeight="1">
      <c r="A635" s="7" t="s">
        <v>355</v>
      </c>
      <c r="B635" s="4">
        <v>3950100</v>
      </c>
      <c r="C635" s="3"/>
      <c r="D635" s="9" t="s">
        <v>903</v>
      </c>
      <c r="E635" s="4">
        <v>8</v>
      </c>
      <c r="F635" s="10"/>
      <c r="G635" s="3">
        <f>0.11*F635</f>
        <v>0</v>
      </c>
      <c r="H635" s="3">
        <f>0.000933333*F635</f>
        <v>0</v>
      </c>
      <c r="I635" s="3"/>
      <c r="J635" s="3" t="s">
        <v>299</v>
      </c>
    </row>
    <row r="636" spans="1:10" ht="46.9" customHeight="1">
      <c r="A636" s="7" t="s">
        <v>360</v>
      </c>
      <c r="B636" s="4">
        <v>3950102</v>
      </c>
      <c r="C636" s="3"/>
      <c r="D636" s="9" t="s">
        <v>904</v>
      </c>
      <c r="E636" s="4">
        <v>6</v>
      </c>
      <c r="F636" s="10">
        <v>1</v>
      </c>
      <c r="G636" s="3">
        <f>0.16*F636</f>
        <v>0.16</v>
      </c>
      <c r="H636" s="3">
        <f>0.001505222*F636</f>
        <v>1.5052220000000001E-3</v>
      </c>
      <c r="I636" s="3"/>
      <c r="J636" s="3" t="s">
        <v>299</v>
      </c>
    </row>
    <row r="637" spans="1:10" ht="46.9" hidden="1" customHeight="1">
      <c r="A637" s="7" t="s">
        <v>355</v>
      </c>
      <c r="B637" s="4">
        <v>3950104</v>
      </c>
      <c r="C637" s="3"/>
      <c r="D637" s="9" t="s">
        <v>905</v>
      </c>
      <c r="E637" s="4">
        <v>8</v>
      </c>
      <c r="F637" s="10"/>
      <c r="G637" s="3">
        <f>0.09*F637</f>
        <v>0</v>
      </c>
      <c r="H637" s="3">
        <f>0.00068*F637</f>
        <v>0</v>
      </c>
      <c r="I637" s="3"/>
      <c r="J637" s="3" t="s">
        <v>299</v>
      </c>
    </row>
    <row r="638" spans="1:10" ht="46.9" hidden="1" customHeight="1">
      <c r="A638" s="7" t="s">
        <v>355</v>
      </c>
      <c r="B638" s="4">
        <v>3950064</v>
      </c>
      <c r="C638" s="3"/>
      <c r="D638" s="9" t="s">
        <v>906</v>
      </c>
      <c r="E638" s="4">
        <v>8</v>
      </c>
      <c r="F638" s="10"/>
      <c r="G638" s="3">
        <f>0.09*F638</f>
        <v>0</v>
      </c>
      <c r="H638" s="3">
        <f>0.00068*F638</f>
        <v>0</v>
      </c>
      <c r="I638" s="3"/>
      <c r="J638" s="3" t="s">
        <v>299</v>
      </c>
    </row>
    <row r="639" spans="1:10" ht="46.9" hidden="1" customHeight="1">
      <c r="A639" s="7" t="s">
        <v>355</v>
      </c>
      <c r="B639" s="4">
        <v>3950112</v>
      </c>
      <c r="C639" s="3"/>
      <c r="D639" s="9" t="s">
        <v>907</v>
      </c>
      <c r="E639" s="4">
        <v>12</v>
      </c>
      <c r="F639" s="10"/>
      <c r="G639" s="3">
        <f>0.14*F639</f>
        <v>0</v>
      </c>
      <c r="H639" s="3">
        <f>0.001203125*F639</f>
        <v>0</v>
      </c>
      <c r="I639" s="3"/>
      <c r="J639" s="3" t="s">
        <v>299</v>
      </c>
    </row>
    <row r="640" spans="1:10" ht="46.9" hidden="1" customHeight="1">
      <c r="A640" s="7" t="s">
        <v>355</v>
      </c>
      <c r="B640" s="4">
        <v>2800014</v>
      </c>
      <c r="C640" s="3"/>
      <c r="D640" s="9" t="s">
        <v>908</v>
      </c>
      <c r="E640" s="4">
        <v>6</v>
      </c>
      <c r="F640" s="10"/>
      <c r="G640" s="3">
        <f>0.21*F640</f>
        <v>0</v>
      </c>
      <c r="H640" s="3">
        <f>0.000703406*F640</f>
        <v>0</v>
      </c>
      <c r="I640" s="3"/>
      <c r="J640" s="3" t="s">
        <v>299</v>
      </c>
    </row>
    <row r="641" spans="1:10" ht="46.9" hidden="1" customHeight="1">
      <c r="A641" s="7" t="s">
        <v>360</v>
      </c>
      <c r="B641" s="4">
        <v>2800016</v>
      </c>
      <c r="C641" s="3"/>
      <c r="D641" s="9" t="s">
        <v>909</v>
      </c>
      <c r="E641" s="4">
        <v>6</v>
      </c>
      <c r="F641" s="10"/>
      <c r="G641" s="3">
        <f>0.21*F641</f>
        <v>0</v>
      </c>
      <c r="H641" s="3">
        <f>0.000694828*F641</f>
        <v>0</v>
      </c>
      <c r="I641" s="3"/>
      <c r="J641" s="3" t="s">
        <v>299</v>
      </c>
    </row>
    <row r="642" spans="1:10" ht="46.9" hidden="1" customHeight="1">
      <c r="A642" s="7" t="s">
        <v>355</v>
      </c>
      <c r="B642" s="4">
        <v>2800018</v>
      </c>
      <c r="C642" s="3"/>
      <c r="D642" s="9" t="s">
        <v>910</v>
      </c>
      <c r="E642" s="4">
        <v>6</v>
      </c>
      <c r="F642" s="10"/>
      <c r="G642" s="3">
        <f>0.17*F642</f>
        <v>0</v>
      </c>
      <c r="H642" s="3">
        <f>0.000645833*F642</f>
        <v>0</v>
      </c>
      <c r="I642" s="3"/>
      <c r="J642" s="3" t="s">
        <v>299</v>
      </c>
    </row>
    <row r="643" spans="1:10" ht="46.9" hidden="1" customHeight="1">
      <c r="A643" s="7" t="s">
        <v>360</v>
      </c>
      <c r="B643" s="4">
        <v>2800019</v>
      </c>
      <c r="C643" s="3"/>
      <c r="D643" s="9" t="s">
        <v>911</v>
      </c>
      <c r="E643" s="4">
        <v>6</v>
      </c>
      <c r="F643" s="10"/>
      <c r="G643" s="3">
        <f>0.21*F643</f>
        <v>0</v>
      </c>
      <c r="H643" s="3">
        <f>0.000846563*F643</f>
        <v>0</v>
      </c>
      <c r="I643" s="3"/>
      <c r="J643" s="3" t="s">
        <v>299</v>
      </c>
    </row>
    <row r="644" spans="1:10" ht="46.9" hidden="1" customHeight="1">
      <c r="A644" s="7" t="s">
        <v>355</v>
      </c>
      <c r="B644" s="4">
        <v>2800020</v>
      </c>
      <c r="C644" s="3"/>
      <c r="D644" s="9" t="s">
        <v>912</v>
      </c>
      <c r="E644" s="4">
        <v>6</v>
      </c>
      <c r="F644" s="10"/>
      <c r="G644" s="3">
        <f>0.22*F644</f>
        <v>0</v>
      </c>
      <c r="H644" s="3">
        <f>0.000714938*F644</f>
        <v>0</v>
      </c>
      <c r="I644" s="3"/>
      <c r="J644" s="3" t="s">
        <v>299</v>
      </c>
    </row>
    <row r="645" spans="1:10" ht="46.9" hidden="1" customHeight="1">
      <c r="A645" s="7" t="s">
        <v>355</v>
      </c>
      <c r="B645" s="4">
        <v>2800021</v>
      </c>
      <c r="C645" s="3"/>
      <c r="D645" s="9" t="s">
        <v>913</v>
      </c>
      <c r="E645" s="4">
        <v>6</v>
      </c>
      <c r="F645" s="10"/>
      <c r="G645" s="3">
        <f>0.19*F645</f>
        <v>0</v>
      </c>
      <c r="H645" s="3">
        <f>0.000532813*F645</f>
        <v>0</v>
      </c>
      <c r="I645" s="3"/>
      <c r="J645" s="3" t="s">
        <v>299</v>
      </c>
    </row>
    <row r="646" spans="1:10" ht="46.9" hidden="1" customHeight="1">
      <c r="A646" s="7" t="s">
        <v>355</v>
      </c>
      <c r="B646" s="4">
        <v>2800022</v>
      </c>
      <c r="C646" s="3"/>
      <c r="D646" s="9" t="s">
        <v>914</v>
      </c>
      <c r="E646" s="4">
        <v>6</v>
      </c>
      <c r="F646" s="10"/>
      <c r="G646" s="3">
        <f>0.19*F646</f>
        <v>0</v>
      </c>
      <c r="H646" s="3">
        <f>0.000728177*F646</f>
        <v>0</v>
      </c>
      <c r="I646" s="3"/>
      <c r="J646" s="3" t="s">
        <v>299</v>
      </c>
    </row>
    <row r="647" spans="1:10" ht="46.9" hidden="1" customHeight="1">
      <c r="A647" s="7" t="s">
        <v>355</v>
      </c>
      <c r="B647" s="4">
        <v>2800030</v>
      </c>
      <c r="C647" s="3"/>
      <c r="D647" s="9" t="s">
        <v>915</v>
      </c>
      <c r="E647" s="4">
        <v>6</v>
      </c>
      <c r="F647" s="10"/>
      <c r="G647" s="3">
        <f>0.15*F647</f>
        <v>0</v>
      </c>
      <c r="H647" s="3">
        <f>0.0006075*F647</f>
        <v>0</v>
      </c>
      <c r="I647" s="3"/>
      <c r="J647" s="3" t="s">
        <v>299</v>
      </c>
    </row>
    <row r="648" spans="1:10" ht="46.9" hidden="1" customHeight="1">
      <c r="A648" s="7" t="s">
        <v>360</v>
      </c>
      <c r="B648" s="4">
        <v>2800032</v>
      </c>
      <c r="C648" s="3"/>
      <c r="D648" s="9" t="s">
        <v>916</v>
      </c>
      <c r="E648" s="4">
        <v>24</v>
      </c>
      <c r="F648" s="10"/>
      <c r="G648" s="3">
        <f>0.06*F648</f>
        <v>0</v>
      </c>
      <c r="H648" s="3">
        <f>0.000231117*F648</f>
        <v>0</v>
      </c>
      <c r="I648" s="3"/>
      <c r="J648" s="3" t="s">
        <v>299</v>
      </c>
    </row>
    <row r="649" spans="1:10" ht="46.9" hidden="1" customHeight="1">
      <c r="A649" s="7" t="s">
        <v>360</v>
      </c>
      <c r="B649" s="4">
        <v>2800033</v>
      </c>
      <c r="C649" s="3"/>
      <c r="D649" s="9" t="s">
        <v>917</v>
      </c>
      <c r="E649" s="4">
        <v>24</v>
      </c>
      <c r="F649" s="10"/>
      <c r="G649" s="3">
        <f>0.1*F649</f>
        <v>0</v>
      </c>
      <c r="H649" s="3">
        <f>0.000424306*F649</f>
        <v>0</v>
      </c>
      <c r="I649" s="3"/>
      <c r="J649" s="3" t="s">
        <v>299</v>
      </c>
    </row>
    <row r="650" spans="1:10" ht="46.9" hidden="1" customHeight="1">
      <c r="A650" s="7" t="s">
        <v>360</v>
      </c>
      <c r="B650" s="4">
        <v>2800035</v>
      </c>
      <c r="C650" s="3"/>
      <c r="D650" s="9" t="s">
        <v>918</v>
      </c>
      <c r="E650" s="4">
        <v>24</v>
      </c>
      <c r="F650" s="10"/>
      <c r="G650" s="3">
        <f>0.15*F650</f>
        <v>0</v>
      </c>
      <c r="H650" s="3">
        <f>0.00067275*F650</f>
        <v>0</v>
      </c>
      <c r="I650" s="3"/>
      <c r="J650" s="3" t="s">
        <v>299</v>
      </c>
    </row>
    <row r="651" spans="1:10" ht="46.9" hidden="1" customHeight="1">
      <c r="A651" s="7" t="s">
        <v>355</v>
      </c>
      <c r="B651" s="4">
        <v>2800195</v>
      </c>
      <c r="C651" s="3"/>
      <c r="D651" s="9" t="s">
        <v>919</v>
      </c>
      <c r="E651" s="4">
        <v>1</v>
      </c>
      <c r="F651" s="10"/>
      <c r="G651" s="3">
        <f>0.15*F651</f>
        <v>0</v>
      </c>
      <c r="H651" s="3">
        <f>0.000685328*F651</f>
        <v>0</v>
      </c>
      <c r="I651" s="3"/>
      <c r="J651" s="3" t="s">
        <v>299</v>
      </c>
    </row>
    <row r="652" spans="1:10" ht="46.9" customHeight="1">
      <c r="A652" s="7" t="s">
        <v>360</v>
      </c>
      <c r="B652" s="4">
        <v>2800201</v>
      </c>
      <c r="C652" s="3"/>
      <c r="D652" s="9" t="s">
        <v>920</v>
      </c>
      <c r="E652" s="4">
        <v>100</v>
      </c>
      <c r="F652" s="10">
        <v>1</v>
      </c>
      <c r="G652" s="3">
        <f>0.16*F652</f>
        <v>0.16</v>
      </c>
      <c r="H652" s="3">
        <f>0.000720875*F652</f>
        <v>7.2087500000000005E-4</v>
      </c>
      <c r="I652" s="3"/>
      <c r="J652" s="3" t="s">
        <v>299</v>
      </c>
    </row>
    <row r="653" spans="1:10" ht="46.9" customHeight="1">
      <c r="A653" s="7" t="s">
        <v>355</v>
      </c>
      <c r="B653" s="4">
        <v>2800218</v>
      </c>
      <c r="C653" s="3"/>
      <c r="D653" s="9" t="s">
        <v>921</v>
      </c>
      <c r="E653" s="4">
        <v>100</v>
      </c>
      <c r="F653" s="10">
        <v>1</v>
      </c>
      <c r="G653" s="3">
        <f>0.15*F653</f>
        <v>0.15</v>
      </c>
      <c r="H653" s="3">
        <f>0.000702*F653</f>
        <v>7.0200000000000004E-4</v>
      </c>
      <c r="I653" s="3"/>
      <c r="J653" s="3" t="s">
        <v>299</v>
      </c>
    </row>
    <row r="654" spans="1:10" ht="46.9" hidden="1" customHeight="1">
      <c r="A654" s="7" t="s">
        <v>355</v>
      </c>
      <c r="B654" s="4">
        <v>2800225</v>
      </c>
      <c r="C654" s="3"/>
      <c r="D654" s="9" t="s">
        <v>922</v>
      </c>
      <c r="E654" s="4">
        <v>100</v>
      </c>
      <c r="F654" s="10"/>
      <c r="G654" s="3">
        <f>0.13*F654</f>
        <v>0</v>
      </c>
      <c r="H654" s="3">
        <f>0.00069498*F654</f>
        <v>0</v>
      </c>
      <c r="I654" s="3"/>
      <c r="J654" s="3" t="s">
        <v>299</v>
      </c>
    </row>
    <row r="655" spans="1:10" ht="46.9" hidden="1" customHeight="1">
      <c r="A655" s="7" t="s">
        <v>360</v>
      </c>
      <c r="B655" s="4">
        <v>3950032</v>
      </c>
      <c r="C655" s="3"/>
      <c r="D655" s="9" t="s">
        <v>923</v>
      </c>
      <c r="E655" s="4">
        <v>4</v>
      </c>
      <c r="F655" s="10"/>
      <c r="G655" s="3">
        <f>0.83*F655</f>
        <v>0</v>
      </c>
      <c r="H655" s="3">
        <f>0.00252*F655</f>
        <v>0</v>
      </c>
      <c r="I655" s="3"/>
      <c r="J655" s="3" t="s">
        <v>299</v>
      </c>
    </row>
    <row r="656" spans="1:10" ht="46.9" hidden="1" customHeight="1">
      <c r="A656" s="7" t="s">
        <v>360</v>
      </c>
      <c r="B656" s="4">
        <v>3950033</v>
      </c>
      <c r="C656" s="3"/>
      <c r="D656" s="9" t="s">
        <v>924</v>
      </c>
      <c r="E656" s="4">
        <v>4</v>
      </c>
      <c r="F656" s="10"/>
      <c r="G656" s="3">
        <f>1.38*F656</f>
        <v>0</v>
      </c>
      <c r="H656" s="3">
        <f>0.003888*F656</f>
        <v>0</v>
      </c>
      <c r="I656" s="3"/>
      <c r="J656" s="3" t="s">
        <v>299</v>
      </c>
    </row>
    <row r="657" spans="1:10" ht="46.9" hidden="1" customHeight="1">
      <c r="A657" s="7" t="s">
        <v>355</v>
      </c>
      <c r="B657" s="4">
        <v>3950113</v>
      </c>
      <c r="C657" s="3"/>
      <c r="D657" s="9" t="s">
        <v>925</v>
      </c>
      <c r="E657" s="4">
        <v>12</v>
      </c>
      <c r="F657" s="10"/>
      <c r="G657" s="3">
        <f>0.13*F657</f>
        <v>0</v>
      </c>
      <c r="H657" s="3">
        <f>0.00105875*F657</f>
        <v>0</v>
      </c>
      <c r="I657" s="3"/>
      <c r="J657" s="3" t="s">
        <v>299</v>
      </c>
    </row>
    <row r="658" spans="1:10" ht="46.9" hidden="1" customHeight="1">
      <c r="A658" s="7" t="s">
        <v>355</v>
      </c>
      <c r="B658" s="4">
        <v>3950116</v>
      </c>
      <c r="C658" s="3"/>
      <c r="D658" s="9" t="s">
        <v>926</v>
      </c>
      <c r="E658" s="4">
        <v>12</v>
      </c>
      <c r="F658" s="10"/>
      <c r="G658" s="3">
        <f>0.15*F658</f>
        <v>0</v>
      </c>
      <c r="H658" s="3">
        <f>0.00126*F658</f>
        <v>0</v>
      </c>
      <c r="I658" s="3"/>
      <c r="J658" s="3" t="s">
        <v>299</v>
      </c>
    </row>
    <row r="659" spans="1:10" ht="46.9" hidden="1" customHeight="1">
      <c r="A659" s="7" t="s">
        <v>360</v>
      </c>
      <c r="B659" s="4">
        <v>2801680</v>
      </c>
      <c r="C659" s="3"/>
      <c r="D659" s="9" t="s">
        <v>927</v>
      </c>
      <c r="E659" s="4">
        <v>12</v>
      </c>
      <c r="F659" s="10"/>
      <c r="G659" s="3">
        <f>0.4*F659</f>
        <v>0</v>
      </c>
      <c r="H659" s="3">
        <f>0.001133417*F659</f>
        <v>0</v>
      </c>
      <c r="I659" s="3"/>
      <c r="J659" s="3" t="s">
        <v>299</v>
      </c>
    </row>
    <row r="660" spans="1:10" ht="46.9" hidden="1" customHeight="1">
      <c r="A660" s="7" t="s">
        <v>355</v>
      </c>
      <c r="B660" s="4">
        <v>1108988</v>
      </c>
      <c r="C660" s="3"/>
      <c r="D660" s="9" t="s">
        <v>928</v>
      </c>
      <c r="E660" s="4">
        <v>100</v>
      </c>
      <c r="F660" s="10"/>
      <c r="G660" s="3">
        <f>0.13*F660</f>
        <v>0</v>
      </c>
      <c r="H660" s="3">
        <f>0.00045838*F660</f>
        <v>0</v>
      </c>
      <c r="I660" s="3"/>
      <c r="J660" s="3" t="s">
        <v>299</v>
      </c>
    </row>
    <row r="661" spans="1:10" ht="46.9" hidden="1" customHeight="1">
      <c r="A661" s="7" t="s">
        <v>300</v>
      </c>
      <c r="B661" s="4">
        <v>1100062</v>
      </c>
      <c r="C661" s="3"/>
      <c r="D661" s="9" t="s">
        <v>929</v>
      </c>
      <c r="E661" s="4">
        <v>12</v>
      </c>
      <c r="F661" s="10"/>
      <c r="G661" s="3">
        <f>0.31*F661</f>
        <v>0</v>
      </c>
      <c r="H661" s="3">
        <f>0.0017545*F661</f>
        <v>0</v>
      </c>
      <c r="I661" s="3"/>
      <c r="J661" s="3" t="s">
        <v>299</v>
      </c>
    </row>
    <row r="662" spans="1:10" ht="18.75" hidden="1">
      <c r="A662" s="6"/>
      <c r="B662" s="19" t="s">
        <v>930</v>
      </c>
      <c r="C662" s="20"/>
      <c r="D662" s="20"/>
      <c r="E662" s="20"/>
      <c r="F662" s="20"/>
      <c r="G662" s="20"/>
      <c r="H662" s="20"/>
      <c r="I662" s="20"/>
      <c r="J662" s="21"/>
    </row>
    <row r="663" spans="1:10" ht="46.9" hidden="1" customHeight="1">
      <c r="A663" s="7" t="s">
        <v>355</v>
      </c>
      <c r="B663" s="4" t="s">
        <v>931</v>
      </c>
      <c r="C663" s="3"/>
      <c r="D663" s="9" t="s">
        <v>932</v>
      </c>
      <c r="E663" s="4">
        <v>1</v>
      </c>
      <c r="F663" s="10"/>
      <c r="G663" s="3">
        <f>0*F663</f>
        <v>0</v>
      </c>
      <c r="H663" s="3">
        <f>0.018649146*F663</f>
        <v>0</v>
      </c>
      <c r="I663" s="3"/>
      <c r="J663" s="3" t="s">
        <v>299</v>
      </c>
    </row>
    <row r="664" spans="1:10" ht="46.9" hidden="1" customHeight="1">
      <c r="A664" s="7" t="s">
        <v>360</v>
      </c>
      <c r="B664" s="4">
        <v>1100032</v>
      </c>
      <c r="C664" s="3"/>
      <c r="D664" s="9" t="s">
        <v>933</v>
      </c>
      <c r="E664" s="4">
        <v>48</v>
      </c>
      <c r="F664" s="10"/>
      <c r="G664" s="3">
        <f>0.27*F664</f>
        <v>0</v>
      </c>
      <c r="H664" s="3">
        <f>0.00122475*F664</f>
        <v>0</v>
      </c>
      <c r="I664" s="3"/>
      <c r="J664" s="3" t="s">
        <v>299</v>
      </c>
    </row>
    <row r="665" spans="1:10" ht="46.9" hidden="1" customHeight="1">
      <c r="A665" s="7" t="s">
        <v>355</v>
      </c>
      <c r="B665" s="4">
        <v>1100063</v>
      </c>
      <c r="C665" s="3"/>
      <c r="D665" s="9" t="s">
        <v>934</v>
      </c>
      <c r="E665" s="4">
        <v>10</v>
      </c>
      <c r="F665" s="10"/>
      <c r="G665" s="3">
        <f>0.09*F665</f>
        <v>0</v>
      </c>
      <c r="H665" s="3">
        <f>0.000276*F665</f>
        <v>0</v>
      </c>
      <c r="I665" s="3"/>
      <c r="J665" s="3" t="s">
        <v>299</v>
      </c>
    </row>
    <row r="666" spans="1:10" ht="46.9" hidden="1" customHeight="1">
      <c r="A666" s="7" t="s">
        <v>360</v>
      </c>
      <c r="B666" s="4">
        <v>3502636</v>
      </c>
      <c r="C666" s="3"/>
      <c r="D666" s="9" t="s">
        <v>935</v>
      </c>
      <c r="E666" s="4">
        <v>2</v>
      </c>
      <c r="F666" s="10"/>
      <c r="G666" s="3">
        <f>4.84*F666</f>
        <v>0</v>
      </c>
      <c r="H666" s="3">
        <f>0.012903*F666</f>
        <v>0</v>
      </c>
      <c r="I666" s="3"/>
      <c r="J666" s="3" t="s">
        <v>299</v>
      </c>
    </row>
    <row r="667" spans="1:10" ht="46.9" hidden="1" customHeight="1">
      <c r="A667" s="7" t="s">
        <v>360</v>
      </c>
      <c r="B667" s="4">
        <v>3800026</v>
      </c>
      <c r="C667" s="3"/>
      <c r="D667" s="9" t="s">
        <v>936</v>
      </c>
      <c r="E667" s="4">
        <v>16</v>
      </c>
      <c r="F667" s="10"/>
      <c r="G667" s="3">
        <f>0.81*F667</f>
        <v>0</v>
      </c>
      <c r="H667" s="3">
        <f>0.003402*F667</f>
        <v>0</v>
      </c>
      <c r="I667" s="3"/>
      <c r="J667" s="3" t="s">
        <v>299</v>
      </c>
    </row>
    <row r="668" spans="1:10" ht="46.9" hidden="1" customHeight="1">
      <c r="A668" s="7" t="s">
        <v>360</v>
      </c>
      <c r="B668" s="4">
        <v>1106274</v>
      </c>
      <c r="C668" s="3"/>
      <c r="D668" s="9" t="s">
        <v>937</v>
      </c>
      <c r="E668" s="4">
        <v>30</v>
      </c>
      <c r="F668" s="10"/>
      <c r="G668" s="3">
        <f>0.37*F668</f>
        <v>0</v>
      </c>
      <c r="H668" s="3">
        <f>0.002193158*F668</f>
        <v>0</v>
      </c>
      <c r="I668" s="3"/>
      <c r="J668" s="3" t="s">
        <v>299</v>
      </c>
    </row>
    <row r="669" spans="1:10" ht="46.9" customHeight="1">
      <c r="A669" s="7" t="s">
        <v>355</v>
      </c>
      <c r="B669" s="4">
        <v>1106247</v>
      </c>
      <c r="C669" s="3"/>
      <c r="D669" s="9" t="s">
        <v>938</v>
      </c>
      <c r="E669" s="4">
        <v>24</v>
      </c>
      <c r="F669" s="10">
        <v>1</v>
      </c>
      <c r="G669" s="3">
        <f>0.24*F669</f>
        <v>0.24</v>
      </c>
      <c r="H669" s="3">
        <f>0.000782167*F669</f>
        <v>7.8216699999999995E-4</v>
      </c>
      <c r="I669" s="3"/>
      <c r="J669" s="3" t="s">
        <v>299</v>
      </c>
    </row>
    <row r="670" spans="1:10" ht="46.9" customHeight="1">
      <c r="A670" s="7" t="s">
        <v>360</v>
      </c>
      <c r="B670" s="4">
        <v>1106245</v>
      </c>
      <c r="C670" s="3"/>
      <c r="D670" s="9" t="s">
        <v>939</v>
      </c>
      <c r="E670" s="4">
        <v>24</v>
      </c>
      <c r="F670" s="10">
        <v>2</v>
      </c>
      <c r="G670" s="3">
        <f>0.44*F670</f>
        <v>0.88</v>
      </c>
      <c r="H670" s="3">
        <f>0.001595*F670</f>
        <v>3.1900000000000001E-3</v>
      </c>
      <c r="I670" s="3"/>
      <c r="J670" s="3" t="s">
        <v>299</v>
      </c>
    </row>
    <row r="671" spans="1:10" ht="46.9" hidden="1" customHeight="1">
      <c r="A671" s="7" t="s">
        <v>360</v>
      </c>
      <c r="B671" s="4">
        <v>1106236</v>
      </c>
      <c r="C671" s="3"/>
      <c r="D671" s="9" t="s">
        <v>940</v>
      </c>
      <c r="E671" s="4">
        <v>24</v>
      </c>
      <c r="F671" s="10"/>
      <c r="G671" s="3">
        <f>0.39*F671</f>
        <v>0</v>
      </c>
      <c r="H671" s="3">
        <f>0.00131662*F671</f>
        <v>0</v>
      </c>
      <c r="I671" s="3"/>
      <c r="J671" s="3" t="s">
        <v>299</v>
      </c>
    </row>
    <row r="672" spans="1:10" ht="46.9" hidden="1" customHeight="1">
      <c r="A672" s="7" t="s">
        <v>360</v>
      </c>
      <c r="B672" s="4">
        <v>1106244</v>
      </c>
      <c r="C672" s="3"/>
      <c r="D672" s="9" t="s">
        <v>941</v>
      </c>
      <c r="E672" s="4">
        <v>48</v>
      </c>
      <c r="F672" s="10"/>
      <c r="G672" s="3">
        <f>0.33*F672</f>
        <v>0</v>
      </c>
      <c r="H672" s="3">
        <f>0.00117875*F672</f>
        <v>0</v>
      </c>
      <c r="I672" s="3"/>
      <c r="J672" s="3" t="s">
        <v>299</v>
      </c>
    </row>
    <row r="673" spans="1:10" ht="46.9" hidden="1" customHeight="1">
      <c r="A673" s="7" t="s">
        <v>360</v>
      </c>
      <c r="B673" s="4">
        <v>1106243</v>
      </c>
      <c r="C673" s="3"/>
      <c r="D673" s="9" t="s">
        <v>942</v>
      </c>
      <c r="E673" s="4">
        <v>24</v>
      </c>
      <c r="F673" s="10"/>
      <c r="G673" s="3">
        <f>0.52*F673</f>
        <v>0</v>
      </c>
      <c r="H673" s="3">
        <f>0.00138125*F673</f>
        <v>0</v>
      </c>
      <c r="I673" s="3"/>
      <c r="J673" s="3" t="s">
        <v>299</v>
      </c>
    </row>
    <row r="674" spans="1:10" ht="46.9" hidden="1" customHeight="1">
      <c r="A674" s="7" t="s">
        <v>360</v>
      </c>
      <c r="B674" s="4">
        <v>1108810</v>
      </c>
      <c r="C674" s="3"/>
      <c r="D674" s="9" t="s">
        <v>943</v>
      </c>
      <c r="E674" s="4">
        <v>30</v>
      </c>
      <c r="F674" s="10"/>
      <c r="G674" s="3">
        <f>0.5*F674</f>
        <v>0</v>
      </c>
      <c r="H674" s="3">
        <f>0.0009625*F674</f>
        <v>0</v>
      </c>
      <c r="I674" s="3"/>
      <c r="J674" s="3" t="s">
        <v>299</v>
      </c>
    </row>
    <row r="675" spans="1:10" ht="46.9" hidden="1" customHeight="1">
      <c r="A675" s="7" t="s">
        <v>360</v>
      </c>
      <c r="B675" s="4">
        <v>1100821</v>
      </c>
      <c r="C675" s="3"/>
      <c r="D675" s="9" t="s">
        <v>944</v>
      </c>
      <c r="E675" s="4">
        <v>72</v>
      </c>
      <c r="F675" s="10"/>
      <c r="G675" s="3">
        <f>0.1*F675</f>
        <v>0</v>
      </c>
      <c r="H675" s="3">
        <f>0.000253828*F675</f>
        <v>0</v>
      </c>
      <c r="I675" s="3"/>
      <c r="J675" s="3" t="s">
        <v>299</v>
      </c>
    </row>
    <row r="676" spans="1:10" ht="46.9" hidden="1" customHeight="1">
      <c r="A676" s="7" t="s">
        <v>360</v>
      </c>
      <c r="B676" s="4">
        <v>1100838</v>
      </c>
      <c r="C676" s="3"/>
      <c r="D676" s="9" t="s">
        <v>945</v>
      </c>
      <c r="E676" s="4">
        <v>72</v>
      </c>
      <c r="F676" s="10"/>
      <c r="G676" s="3">
        <f>0.1*F676</f>
        <v>0</v>
      </c>
      <c r="H676" s="3">
        <f>0.000262813*F676</f>
        <v>0</v>
      </c>
      <c r="I676" s="3"/>
      <c r="J676" s="3" t="s">
        <v>299</v>
      </c>
    </row>
    <row r="677" spans="1:10" ht="46.9" hidden="1" customHeight="1">
      <c r="A677" s="7" t="s">
        <v>355</v>
      </c>
      <c r="B677" s="4">
        <v>1100845</v>
      </c>
      <c r="C677" s="3"/>
      <c r="D677" s="9" t="s">
        <v>946</v>
      </c>
      <c r="E677" s="4">
        <v>72</v>
      </c>
      <c r="F677" s="10"/>
      <c r="G677" s="3">
        <f>0.1*F677</f>
        <v>0</v>
      </c>
      <c r="H677" s="3">
        <f>0.000262813*F677</f>
        <v>0</v>
      </c>
      <c r="I677" s="3"/>
      <c r="J677" s="3" t="s">
        <v>299</v>
      </c>
    </row>
    <row r="678" spans="1:10" ht="46.9" hidden="1" customHeight="1">
      <c r="A678" s="7" t="s">
        <v>355</v>
      </c>
      <c r="B678" s="4">
        <v>1100852</v>
      </c>
      <c r="C678" s="3"/>
      <c r="D678" s="9" t="s">
        <v>947</v>
      </c>
      <c r="E678" s="4">
        <v>72</v>
      </c>
      <c r="F678" s="10"/>
      <c r="G678" s="3">
        <f>0.1*F678</f>
        <v>0</v>
      </c>
      <c r="H678" s="3">
        <f>0.00023925*F678</f>
        <v>0</v>
      </c>
      <c r="I678" s="3"/>
      <c r="J678" s="3" t="s">
        <v>299</v>
      </c>
    </row>
    <row r="679" spans="1:10" ht="46.9" hidden="1" customHeight="1">
      <c r="A679" s="7" t="s">
        <v>355</v>
      </c>
      <c r="B679" s="4">
        <v>1100869</v>
      </c>
      <c r="C679" s="3"/>
      <c r="D679" s="9" t="s">
        <v>948</v>
      </c>
      <c r="E679" s="4">
        <v>72</v>
      </c>
      <c r="F679" s="10"/>
      <c r="G679" s="3">
        <f>0.11*F679</f>
        <v>0</v>
      </c>
      <c r="H679" s="3">
        <f>0.000248188*F679</f>
        <v>0</v>
      </c>
      <c r="I679" s="3"/>
      <c r="J679" s="3" t="s">
        <v>299</v>
      </c>
    </row>
    <row r="680" spans="1:10" ht="46.9" hidden="1" customHeight="1">
      <c r="A680" s="7" t="s">
        <v>355</v>
      </c>
      <c r="B680" s="4">
        <v>1106212</v>
      </c>
      <c r="C680" s="3"/>
      <c r="D680" s="9" t="s">
        <v>949</v>
      </c>
      <c r="E680" s="4">
        <v>60</v>
      </c>
      <c r="F680" s="10"/>
      <c r="G680" s="3">
        <f>0.11*F680</f>
        <v>0</v>
      </c>
      <c r="H680" s="3">
        <f>0.000494633*F680</f>
        <v>0</v>
      </c>
      <c r="I680" s="3"/>
      <c r="J680" s="3" t="s">
        <v>299</v>
      </c>
    </row>
    <row r="681" spans="1:10" ht="46.9" hidden="1" customHeight="1">
      <c r="A681" s="7" t="s">
        <v>355</v>
      </c>
      <c r="B681" s="4">
        <v>1106229</v>
      </c>
      <c r="C681" s="3"/>
      <c r="D681" s="9" t="s">
        <v>950</v>
      </c>
      <c r="E681" s="4">
        <v>60</v>
      </c>
      <c r="F681" s="10"/>
      <c r="G681" s="3">
        <f>0.12*F681</f>
        <v>0</v>
      </c>
      <c r="H681" s="3">
        <f>0.00036075*F681</f>
        <v>0</v>
      </c>
      <c r="I681" s="3"/>
      <c r="J681" s="3" t="s">
        <v>299</v>
      </c>
    </row>
    <row r="682" spans="1:10" ht="46.9" hidden="1" customHeight="1">
      <c r="A682" s="7" t="s">
        <v>355</v>
      </c>
      <c r="B682" s="4">
        <v>1107417</v>
      </c>
      <c r="C682" s="3"/>
      <c r="D682" s="9" t="s">
        <v>951</v>
      </c>
      <c r="E682" s="4">
        <v>60</v>
      </c>
      <c r="F682" s="10"/>
      <c r="G682" s="3">
        <f>0.12*F682</f>
        <v>0</v>
      </c>
      <c r="H682" s="3">
        <f>0.0005106*F682</f>
        <v>0</v>
      </c>
      <c r="I682" s="3"/>
      <c r="J682" s="3" t="s">
        <v>299</v>
      </c>
    </row>
    <row r="683" spans="1:10" ht="46.9" hidden="1" customHeight="1">
      <c r="A683" s="7" t="s">
        <v>355</v>
      </c>
      <c r="B683" s="4">
        <v>1107431</v>
      </c>
      <c r="C683" s="3"/>
      <c r="D683" s="9" t="s">
        <v>952</v>
      </c>
      <c r="E683" s="4">
        <v>60</v>
      </c>
      <c r="F683" s="10"/>
      <c r="G683" s="3">
        <f>0.11*F683</f>
        <v>0</v>
      </c>
      <c r="H683" s="3">
        <f>0.0005244*F683</f>
        <v>0</v>
      </c>
      <c r="I683" s="3"/>
      <c r="J683" s="3" t="s">
        <v>299</v>
      </c>
    </row>
    <row r="684" spans="1:10" ht="46.9" hidden="1" customHeight="1">
      <c r="A684" s="7" t="s">
        <v>355</v>
      </c>
      <c r="B684" s="4">
        <v>1107448</v>
      </c>
      <c r="C684" s="3"/>
      <c r="D684" s="9" t="s">
        <v>953</v>
      </c>
      <c r="E684" s="4">
        <v>60</v>
      </c>
      <c r="F684" s="10"/>
      <c r="G684" s="3">
        <f>0.12*F684</f>
        <v>0</v>
      </c>
      <c r="H684" s="3">
        <f>0.0005244*F684</f>
        <v>0</v>
      </c>
      <c r="I684" s="3"/>
      <c r="J684" s="3" t="s">
        <v>299</v>
      </c>
    </row>
    <row r="685" spans="1:10" ht="46.9" hidden="1" customHeight="1">
      <c r="A685" s="7" t="s">
        <v>355</v>
      </c>
      <c r="B685" s="4">
        <v>3800017</v>
      </c>
      <c r="C685" s="3"/>
      <c r="D685" s="9" t="s">
        <v>954</v>
      </c>
      <c r="E685" s="4">
        <v>4</v>
      </c>
      <c r="F685" s="10"/>
      <c r="G685" s="3">
        <f>0.75*F685</f>
        <v>0</v>
      </c>
      <c r="H685" s="3">
        <f>0.01555125*F685</f>
        <v>0</v>
      </c>
      <c r="I685" s="3"/>
      <c r="J685" s="3" t="s">
        <v>299</v>
      </c>
    </row>
    <row r="686" spans="1:10" ht="46.9" customHeight="1">
      <c r="A686" s="7" t="s">
        <v>360</v>
      </c>
      <c r="B686" s="4">
        <v>1106014</v>
      </c>
      <c r="C686" s="3"/>
      <c r="D686" s="9" t="s">
        <v>955</v>
      </c>
      <c r="E686" s="4">
        <v>48</v>
      </c>
      <c r="F686" s="10">
        <v>1</v>
      </c>
      <c r="G686" s="3">
        <f>0.26*F686</f>
        <v>0.26</v>
      </c>
      <c r="H686" s="3">
        <f>0.001216667*F686</f>
        <v>1.2166670000000001E-3</v>
      </c>
      <c r="I686" s="3"/>
      <c r="J686" s="3" t="s">
        <v>299</v>
      </c>
    </row>
    <row r="687" spans="1:10" ht="46.9" hidden="1" customHeight="1">
      <c r="A687" s="7" t="s">
        <v>355</v>
      </c>
      <c r="B687" s="4">
        <v>1105574</v>
      </c>
      <c r="C687" s="3"/>
      <c r="D687" s="9" t="s">
        <v>956</v>
      </c>
      <c r="E687" s="4">
        <v>8</v>
      </c>
      <c r="F687" s="10"/>
      <c r="G687" s="3">
        <f>0.85*F687</f>
        <v>0</v>
      </c>
      <c r="H687" s="3">
        <f>0.004844531*F687</f>
        <v>0</v>
      </c>
      <c r="I687" s="3"/>
      <c r="J687" s="3" t="s">
        <v>299</v>
      </c>
    </row>
    <row r="688" spans="1:10" ht="46.9" hidden="1" customHeight="1">
      <c r="A688" s="7" t="s">
        <v>355</v>
      </c>
      <c r="B688" s="4">
        <v>1105598</v>
      </c>
      <c r="C688" s="3"/>
      <c r="D688" s="9" t="s">
        <v>957</v>
      </c>
      <c r="E688" s="4">
        <v>8</v>
      </c>
      <c r="F688" s="10"/>
      <c r="G688" s="3">
        <f>0.94*F688</f>
        <v>0</v>
      </c>
      <c r="H688" s="3">
        <f>0.006723425*F688</f>
        <v>0</v>
      </c>
      <c r="I688" s="3"/>
      <c r="J688" s="3" t="s">
        <v>299</v>
      </c>
    </row>
    <row r="689" spans="1:10" ht="46.9" hidden="1" customHeight="1">
      <c r="A689" s="7" t="s">
        <v>355</v>
      </c>
      <c r="B689" s="4">
        <v>1105659</v>
      </c>
      <c r="C689" s="3"/>
      <c r="D689" s="9" t="s">
        <v>958</v>
      </c>
      <c r="E689" s="4">
        <v>4</v>
      </c>
      <c r="F689" s="10"/>
      <c r="G689" s="3">
        <f>1.81*F689</f>
        <v>0</v>
      </c>
      <c r="H689" s="3">
        <f>0.0117645*F689</f>
        <v>0</v>
      </c>
      <c r="I689" s="3"/>
      <c r="J689" s="3" t="s">
        <v>299</v>
      </c>
    </row>
    <row r="690" spans="1:10" ht="46.9" hidden="1" customHeight="1">
      <c r="A690" s="7" t="s">
        <v>355</v>
      </c>
      <c r="B690" s="4">
        <v>1105673</v>
      </c>
      <c r="C690" s="3"/>
      <c r="D690" s="9" t="s">
        <v>959</v>
      </c>
      <c r="E690" s="4">
        <v>6</v>
      </c>
      <c r="F690" s="10"/>
      <c r="G690" s="3">
        <f>1.07*F690</f>
        <v>0</v>
      </c>
      <c r="H690" s="3">
        <f>0.007749*F690</f>
        <v>0</v>
      </c>
      <c r="I690" s="3"/>
      <c r="J690" s="3" t="s">
        <v>299</v>
      </c>
    </row>
    <row r="691" spans="1:10" ht="46.9" hidden="1" customHeight="1">
      <c r="A691" s="7" t="s">
        <v>355</v>
      </c>
      <c r="B691" s="4">
        <v>1106021</v>
      </c>
      <c r="C691" s="3"/>
      <c r="D691" s="9" t="s">
        <v>960</v>
      </c>
      <c r="E691" s="4">
        <v>40</v>
      </c>
      <c r="F691" s="10"/>
      <c r="G691" s="3">
        <f>0.22*F691</f>
        <v>0</v>
      </c>
      <c r="H691" s="3">
        <f>0.00128625*F691</f>
        <v>0</v>
      </c>
      <c r="I691" s="3"/>
      <c r="J691" s="3" t="s">
        <v>299</v>
      </c>
    </row>
    <row r="692" spans="1:10" ht="46.9" hidden="1" customHeight="1">
      <c r="A692" s="7" t="s">
        <v>355</v>
      </c>
      <c r="B692" s="4">
        <v>1109107</v>
      </c>
      <c r="C692" s="3"/>
      <c r="D692" s="9" t="s">
        <v>961</v>
      </c>
      <c r="E692" s="4">
        <v>6</v>
      </c>
      <c r="F692" s="10"/>
      <c r="G692" s="3">
        <f>1.76*F692</f>
        <v>0</v>
      </c>
      <c r="H692" s="3">
        <f>0.00676*F692</f>
        <v>0</v>
      </c>
      <c r="I692" s="3"/>
      <c r="J692" s="3" t="s">
        <v>299</v>
      </c>
    </row>
    <row r="693" spans="1:10" ht="46.9" hidden="1" customHeight="1">
      <c r="A693" s="7" t="s">
        <v>355</v>
      </c>
      <c r="B693" s="4">
        <v>3501725</v>
      </c>
      <c r="C693" s="3"/>
      <c r="D693" s="9" t="s">
        <v>962</v>
      </c>
      <c r="E693" s="4">
        <v>6</v>
      </c>
      <c r="F693" s="10"/>
      <c r="G693" s="3">
        <f>0.89*F693</f>
        <v>0</v>
      </c>
      <c r="H693" s="3">
        <f>0.004561667*F693</f>
        <v>0</v>
      </c>
      <c r="I693" s="3"/>
      <c r="J693" s="3" t="s">
        <v>299</v>
      </c>
    </row>
    <row r="694" spans="1:10" ht="46.9" hidden="1" customHeight="1">
      <c r="A694" s="7" t="s">
        <v>355</v>
      </c>
      <c r="B694" s="4">
        <v>3700448</v>
      </c>
      <c r="C694" s="3"/>
      <c r="D694" s="9" t="s">
        <v>963</v>
      </c>
      <c r="E694" s="4">
        <v>4</v>
      </c>
      <c r="F694" s="10"/>
      <c r="G694" s="3">
        <f>1.25*F694</f>
        <v>0</v>
      </c>
      <c r="H694" s="3">
        <f>0.0197925*F694</f>
        <v>0</v>
      </c>
      <c r="I694" s="3"/>
      <c r="J694" s="3" t="s">
        <v>299</v>
      </c>
    </row>
    <row r="695" spans="1:10" ht="46.9" hidden="1" customHeight="1">
      <c r="A695" s="7" t="s">
        <v>360</v>
      </c>
      <c r="B695" s="4">
        <v>3700449</v>
      </c>
      <c r="C695" s="3"/>
      <c r="D695" s="9" t="s">
        <v>964</v>
      </c>
      <c r="E695" s="4">
        <v>2</v>
      </c>
      <c r="F695" s="10"/>
      <c r="G695" s="3">
        <f>3.25*F695</f>
        <v>0</v>
      </c>
      <c r="H695" s="3">
        <f>0.022678*F695</f>
        <v>0</v>
      </c>
      <c r="I695" s="3"/>
      <c r="J695" s="3" t="s">
        <v>299</v>
      </c>
    </row>
    <row r="696" spans="1:10" ht="46.9" hidden="1" customHeight="1">
      <c r="A696" s="7" t="s">
        <v>360</v>
      </c>
      <c r="B696" s="4">
        <v>2800040</v>
      </c>
      <c r="C696" s="3"/>
      <c r="D696" s="9" t="s">
        <v>965</v>
      </c>
      <c r="E696" s="4">
        <v>12</v>
      </c>
      <c r="F696" s="10"/>
      <c r="G696" s="3">
        <f>0.71*F696</f>
        <v>0</v>
      </c>
      <c r="H696" s="3">
        <f>0.003388667*F696</f>
        <v>0</v>
      </c>
      <c r="I696" s="3"/>
      <c r="J696" s="3" t="s">
        <v>299</v>
      </c>
    </row>
    <row r="697" spans="1:10" ht="46.9" hidden="1" customHeight="1">
      <c r="A697" s="7" t="s">
        <v>360</v>
      </c>
      <c r="B697" s="4">
        <v>2801703</v>
      </c>
      <c r="C697" s="3"/>
      <c r="D697" s="9" t="s">
        <v>966</v>
      </c>
      <c r="E697" s="4">
        <v>25</v>
      </c>
      <c r="F697" s="10"/>
      <c r="G697" s="3">
        <f>0.37*F697</f>
        <v>0</v>
      </c>
      <c r="H697" s="3">
        <f>0.00200096*F697</f>
        <v>0</v>
      </c>
      <c r="I697" s="3"/>
      <c r="J697" s="3" t="s">
        <v>299</v>
      </c>
    </row>
    <row r="698" spans="1:10" ht="46.9" hidden="1" customHeight="1">
      <c r="A698" s="7" t="s">
        <v>360</v>
      </c>
      <c r="B698" s="4">
        <v>3950051</v>
      </c>
      <c r="C698" s="3"/>
      <c r="D698" s="9" t="s">
        <v>967</v>
      </c>
      <c r="E698" s="4">
        <v>4</v>
      </c>
      <c r="F698" s="10"/>
      <c r="G698" s="3">
        <f>1.77*F698</f>
        <v>0</v>
      </c>
      <c r="H698" s="3">
        <f>0.01386*F698</f>
        <v>0</v>
      </c>
      <c r="I698" s="3"/>
      <c r="J698" s="3" t="s">
        <v>299</v>
      </c>
    </row>
    <row r="699" spans="1:10" ht="46.9" customHeight="1">
      <c r="A699" s="7" t="s">
        <v>355</v>
      </c>
      <c r="B699" s="4">
        <v>1101699</v>
      </c>
      <c r="C699" s="3"/>
      <c r="D699" s="9" t="s">
        <v>968</v>
      </c>
      <c r="E699" s="4">
        <v>32</v>
      </c>
      <c r="F699" s="10">
        <v>1</v>
      </c>
      <c r="G699" s="3">
        <f>0.44*F699</f>
        <v>0.44</v>
      </c>
      <c r="H699" s="3">
        <f>0.000991875*F699</f>
        <v>9.9187499999999992E-4</v>
      </c>
      <c r="I699" s="3"/>
      <c r="J699" s="3" t="s">
        <v>299</v>
      </c>
    </row>
    <row r="700" spans="1:10" ht="46.9" hidden="1" customHeight="1">
      <c r="A700" s="7" t="s">
        <v>360</v>
      </c>
      <c r="B700" s="4">
        <v>1101712</v>
      </c>
      <c r="C700" s="3"/>
      <c r="D700" s="9" t="s">
        <v>969</v>
      </c>
      <c r="E700" s="4">
        <v>6</v>
      </c>
      <c r="F700" s="10"/>
      <c r="G700" s="3">
        <f>2.14*F700</f>
        <v>0</v>
      </c>
      <c r="H700" s="3">
        <f>0.004661*F700</f>
        <v>0</v>
      </c>
      <c r="I700" s="3"/>
      <c r="J700" s="3" t="s">
        <v>299</v>
      </c>
    </row>
    <row r="701" spans="1:10" ht="46.9" hidden="1" customHeight="1">
      <c r="A701" s="7" t="s">
        <v>355</v>
      </c>
      <c r="B701" s="4">
        <v>1101729</v>
      </c>
      <c r="C701" s="3"/>
      <c r="D701" s="9" t="s">
        <v>970</v>
      </c>
      <c r="E701" s="4">
        <v>6</v>
      </c>
      <c r="F701" s="10"/>
      <c r="G701" s="3">
        <f>1.87*F701</f>
        <v>0</v>
      </c>
      <c r="H701" s="3">
        <f>0.0033005*F701</f>
        <v>0</v>
      </c>
      <c r="I701" s="3"/>
      <c r="J701" s="3" t="s">
        <v>299</v>
      </c>
    </row>
    <row r="702" spans="1:10" ht="46.9" hidden="1" customHeight="1">
      <c r="A702" s="7" t="s">
        <v>355</v>
      </c>
      <c r="B702" s="4">
        <v>1106246</v>
      </c>
      <c r="C702" s="3"/>
      <c r="D702" s="9" t="s">
        <v>971</v>
      </c>
      <c r="E702" s="4">
        <v>6</v>
      </c>
      <c r="F702" s="10"/>
      <c r="G702" s="3">
        <f>1.67*F702</f>
        <v>0</v>
      </c>
      <c r="H702" s="3">
        <f>0.001792*F702</f>
        <v>0</v>
      </c>
      <c r="I702" s="3"/>
      <c r="J702" s="3" t="s">
        <v>299</v>
      </c>
    </row>
    <row r="703" spans="1:10" ht="46.9" hidden="1" customHeight="1">
      <c r="A703" s="7" t="s">
        <v>360</v>
      </c>
      <c r="B703" s="4">
        <v>3501978</v>
      </c>
      <c r="C703" s="3"/>
      <c r="D703" s="9" t="s">
        <v>972</v>
      </c>
      <c r="E703" s="4">
        <v>4</v>
      </c>
      <c r="F703" s="10"/>
      <c r="G703" s="3">
        <f>3.26*F703</f>
        <v>0</v>
      </c>
      <c r="H703" s="3">
        <f>0.010387*F703</f>
        <v>0</v>
      </c>
      <c r="I703" s="3"/>
      <c r="J703" s="3" t="s">
        <v>299</v>
      </c>
    </row>
    <row r="704" spans="1:10" ht="46.9" hidden="1" customHeight="1">
      <c r="A704" s="7" t="s">
        <v>360</v>
      </c>
      <c r="B704" s="4">
        <v>3950024</v>
      </c>
      <c r="C704" s="3"/>
      <c r="D704" s="9" t="s">
        <v>973</v>
      </c>
      <c r="E704" s="4">
        <v>12</v>
      </c>
      <c r="F704" s="10"/>
      <c r="G704" s="3">
        <f>0.79*F704</f>
        <v>0</v>
      </c>
      <c r="H704" s="3">
        <f>0.002212813*F704</f>
        <v>0</v>
      </c>
      <c r="I704" s="3"/>
      <c r="J704" s="3" t="s">
        <v>299</v>
      </c>
    </row>
    <row r="705" spans="1:10" ht="46.9" hidden="1" customHeight="1">
      <c r="A705" s="7" t="s">
        <v>355</v>
      </c>
      <c r="B705" s="4">
        <v>3950057</v>
      </c>
      <c r="C705" s="3"/>
      <c r="D705" s="9" t="s">
        <v>974</v>
      </c>
      <c r="E705" s="4">
        <v>16</v>
      </c>
      <c r="F705" s="10"/>
      <c r="G705" s="3">
        <f>0.94*F705</f>
        <v>0</v>
      </c>
      <c r="H705" s="3">
        <f>0.00404225*F705</f>
        <v>0</v>
      </c>
      <c r="I705" s="3"/>
      <c r="J705" s="3" t="s">
        <v>299</v>
      </c>
    </row>
    <row r="706" spans="1:10" ht="46.9" hidden="1" customHeight="1">
      <c r="A706" s="7" t="s">
        <v>355</v>
      </c>
      <c r="B706" s="4">
        <v>3950058</v>
      </c>
      <c r="C706" s="3"/>
      <c r="D706" s="9" t="s">
        <v>975</v>
      </c>
      <c r="E706" s="4">
        <v>6</v>
      </c>
      <c r="F706" s="10"/>
      <c r="G706" s="3">
        <f>2*F706</f>
        <v>0</v>
      </c>
      <c r="H706" s="3">
        <f>0.006013333*F706</f>
        <v>0</v>
      </c>
      <c r="I706" s="3"/>
      <c r="J706" s="3" t="s">
        <v>299</v>
      </c>
    </row>
    <row r="707" spans="1:10" ht="46.9" hidden="1" customHeight="1">
      <c r="A707" s="7" t="s">
        <v>360</v>
      </c>
      <c r="B707" s="4">
        <v>3950060</v>
      </c>
      <c r="C707" s="3"/>
      <c r="D707" s="9" t="s">
        <v>976</v>
      </c>
      <c r="E707" s="4">
        <v>10</v>
      </c>
      <c r="F707" s="10"/>
      <c r="G707" s="3">
        <f>1.41*F707</f>
        <v>0</v>
      </c>
      <c r="H707" s="3">
        <f>0.003528*F707</f>
        <v>0</v>
      </c>
      <c r="I707" s="3"/>
      <c r="J707" s="3" t="s">
        <v>299</v>
      </c>
    </row>
    <row r="708" spans="1:10" ht="46.9" customHeight="1">
      <c r="A708" s="7" t="s">
        <v>355</v>
      </c>
      <c r="B708" s="4">
        <v>3950061</v>
      </c>
      <c r="C708" s="3"/>
      <c r="D708" s="9" t="s">
        <v>977</v>
      </c>
      <c r="E708" s="4">
        <v>24</v>
      </c>
      <c r="F708" s="10">
        <v>1</v>
      </c>
      <c r="G708" s="3">
        <f>0.51*F708</f>
        <v>0.51</v>
      </c>
      <c r="H708" s="3">
        <f>0.001276042*F708</f>
        <v>1.276042E-3</v>
      </c>
      <c r="I708" s="3"/>
      <c r="J708" s="3" t="s">
        <v>299</v>
      </c>
    </row>
    <row r="709" spans="1:10" ht="46.9" hidden="1" customHeight="1">
      <c r="A709" s="7" t="s">
        <v>360</v>
      </c>
      <c r="B709" s="4">
        <v>3950085</v>
      </c>
      <c r="C709" s="3"/>
      <c r="D709" s="9" t="s">
        <v>978</v>
      </c>
      <c r="E709" s="4">
        <v>8</v>
      </c>
      <c r="F709" s="10"/>
      <c r="G709" s="3">
        <f>1.25*F709</f>
        <v>0</v>
      </c>
      <c r="H709" s="3">
        <f>0.0027*F709</f>
        <v>0</v>
      </c>
      <c r="I709" s="3"/>
      <c r="J709" s="3" t="s">
        <v>299</v>
      </c>
    </row>
    <row r="710" spans="1:10" ht="46.9" hidden="1" customHeight="1">
      <c r="A710" s="7" t="s">
        <v>360</v>
      </c>
      <c r="B710" s="4">
        <v>3950086</v>
      </c>
      <c r="C710" s="3"/>
      <c r="D710" s="9" t="s">
        <v>979</v>
      </c>
      <c r="E710" s="4">
        <v>16</v>
      </c>
      <c r="F710" s="10"/>
      <c r="G710" s="3">
        <f>0.63*F710</f>
        <v>0</v>
      </c>
      <c r="H710" s="3">
        <f>0.00138*F710</f>
        <v>0</v>
      </c>
      <c r="I710" s="3"/>
      <c r="J710" s="3" t="s">
        <v>299</v>
      </c>
    </row>
    <row r="711" spans="1:10" ht="46.9" hidden="1" customHeight="1">
      <c r="A711" s="7" t="s">
        <v>355</v>
      </c>
      <c r="B711" s="4">
        <v>3950087</v>
      </c>
      <c r="C711" s="3"/>
      <c r="D711" s="9" t="s">
        <v>980</v>
      </c>
      <c r="E711" s="4">
        <v>20</v>
      </c>
      <c r="F711" s="10"/>
      <c r="G711" s="3">
        <f>0.4*F711</f>
        <v>0</v>
      </c>
      <c r="H711" s="3">
        <f>0.00099875*F711</f>
        <v>0</v>
      </c>
      <c r="I711" s="3"/>
      <c r="J711" s="3" t="s">
        <v>299</v>
      </c>
    </row>
    <row r="712" spans="1:10" ht="46.9" hidden="1" customHeight="1">
      <c r="A712" s="7" t="s">
        <v>360</v>
      </c>
      <c r="B712" s="4">
        <v>3950088</v>
      </c>
      <c r="C712" s="3"/>
      <c r="D712" s="9" t="s">
        <v>981</v>
      </c>
      <c r="E712" s="4">
        <v>6</v>
      </c>
      <c r="F712" s="10"/>
      <c r="G712" s="3">
        <f>1.5*F712</f>
        <v>0</v>
      </c>
      <c r="H712" s="3">
        <f>0.007905*F712</f>
        <v>0</v>
      </c>
      <c r="I712" s="3"/>
      <c r="J712" s="3" t="s">
        <v>299</v>
      </c>
    </row>
    <row r="713" spans="1:10" ht="46.9" hidden="1" customHeight="1">
      <c r="A713" s="7" t="s">
        <v>355</v>
      </c>
      <c r="B713" s="4">
        <v>8500164</v>
      </c>
      <c r="C713" s="3"/>
      <c r="D713" s="9" t="s">
        <v>982</v>
      </c>
      <c r="E713" s="4">
        <v>12</v>
      </c>
      <c r="F713" s="10"/>
      <c r="G713" s="3">
        <f>0.79*F713</f>
        <v>0</v>
      </c>
      <c r="H713" s="3">
        <f>0.0013365*F713</f>
        <v>0</v>
      </c>
      <c r="I713" s="3"/>
      <c r="J713" s="3" t="s">
        <v>299</v>
      </c>
    </row>
    <row r="714" spans="1:10" ht="46.9" hidden="1" customHeight="1">
      <c r="A714" s="7" t="s">
        <v>355</v>
      </c>
      <c r="B714" s="4">
        <v>3900060</v>
      </c>
      <c r="C714" s="3"/>
      <c r="D714" s="9" t="s">
        <v>983</v>
      </c>
      <c r="E714" s="4">
        <v>4</v>
      </c>
      <c r="F714" s="10"/>
      <c r="G714" s="3">
        <f>0.9*F714</f>
        <v>0</v>
      </c>
      <c r="H714" s="3">
        <f>0.00264*F714</f>
        <v>0</v>
      </c>
      <c r="I714" s="3"/>
      <c r="J714" s="3" t="s">
        <v>299</v>
      </c>
    </row>
    <row r="715" spans="1:10" ht="46.9" hidden="1" customHeight="1">
      <c r="A715" s="7" t="s">
        <v>360</v>
      </c>
      <c r="B715" s="4">
        <v>3900061</v>
      </c>
      <c r="C715" s="3"/>
      <c r="D715" s="9" t="s">
        <v>984</v>
      </c>
      <c r="E715" s="4">
        <v>6</v>
      </c>
      <c r="F715" s="10"/>
      <c r="G715" s="3">
        <f>1.47*F715</f>
        <v>0</v>
      </c>
      <c r="H715" s="3">
        <f>0.002926*F715</f>
        <v>0</v>
      </c>
      <c r="I715" s="3"/>
      <c r="J715" s="3" t="s">
        <v>299</v>
      </c>
    </row>
    <row r="716" spans="1:10" ht="46.9" hidden="1" customHeight="1">
      <c r="A716" s="7" t="s">
        <v>360</v>
      </c>
      <c r="B716" s="4">
        <v>2306284</v>
      </c>
      <c r="C716" s="3"/>
      <c r="D716" s="9" t="s">
        <v>985</v>
      </c>
      <c r="E716" s="4">
        <v>10</v>
      </c>
      <c r="F716" s="10"/>
      <c r="G716" s="3">
        <f>1.06*F716</f>
        <v>0</v>
      </c>
      <c r="H716" s="3">
        <f>0.004568738*F716</f>
        <v>0</v>
      </c>
      <c r="I716" s="3"/>
      <c r="J716" s="3" t="s">
        <v>299</v>
      </c>
    </row>
    <row r="717" spans="1:10" ht="46.9" hidden="1" customHeight="1">
      <c r="A717" s="7" t="s">
        <v>360</v>
      </c>
      <c r="B717" s="4">
        <v>2306291</v>
      </c>
      <c r="C717" s="3"/>
      <c r="D717" s="9" t="s">
        <v>986</v>
      </c>
      <c r="E717" s="4">
        <v>8</v>
      </c>
      <c r="F717" s="10"/>
      <c r="G717" s="3">
        <f>1.26*F717</f>
        <v>0</v>
      </c>
      <c r="H717" s="3">
        <f>0.00571875*F717</f>
        <v>0</v>
      </c>
      <c r="I717" s="3"/>
      <c r="J717" s="3" t="s">
        <v>299</v>
      </c>
    </row>
    <row r="718" spans="1:10" ht="46.9" hidden="1" customHeight="1">
      <c r="A718" s="7" t="s">
        <v>355</v>
      </c>
      <c r="B718" s="4">
        <v>2307356</v>
      </c>
      <c r="C718" s="3"/>
      <c r="D718" s="9" t="s">
        <v>987</v>
      </c>
      <c r="E718" s="4">
        <v>10</v>
      </c>
      <c r="F718" s="10"/>
      <c r="G718" s="3">
        <f>0.83*F718</f>
        <v>0</v>
      </c>
      <c r="H718" s="3">
        <f>0.0026979*F718</f>
        <v>0</v>
      </c>
      <c r="I718" s="3"/>
      <c r="J718" s="3" t="s">
        <v>299</v>
      </c>
    </row>
    <row r="719" spans="1:10" ht="46.9" hidden="1" customHeight="1">
      <c r="A719" s="7" t="s">
        <v>360</v>
      </c>
      <c r="B719" s="4">
        <v>2307357</v>
      </c>
      <c r="C719" s="3"/>
      <c r="D719" s="9" t="s">
        <v>988</v>
      </c>
      <c r="E719" s="4">
        <v>10</v>
      </c>
      <c r="F719" s="10"/>
      <c r="G719" s="3">
        <f>1.12*F719</f>
        <v>0</v>
      </c>
      <c r="H719" s="3">
        <f>0.0037179*F719</f>
        <v>0</v>
      </c>
      <c r="I719" s="3"/>
      <c r="J719" s="3" t="s">
        <v>299</v>
      </c>
    </row>
    <row r="720" spans="1:10" ht="46.9" hidden="1" customHeight="1">
      <c r="A720" s="7" t="s">
        <v>360</v>
      </c>
      <c r="B720" s="4">
        <v>2307358</v>
      </c>
      <c r="C720" s="3"/>
      <c r="D720" s="9" t="s">
        <v>989</v>
      </c>
      <c r="E720" s="4">
        <v>10</v>
      </c>
      <c r="F720" s="10"/>
      <c r="G720" s="3">
        <f>1.43*F720</f>
        <v>0</v>
      </c>
      <c r="H720" s="3">
        <f>0.0049011*F720</f>
        <v>0</v>
      </c>
      <c r="I720" s="3"/>
      <c r="J720" s="3" t="s">
        <v>299</v>
      </c>
    </row>
    <row r="721" spans="1:10" ht="46.9" hidden="1" customHeight="1">
      <c r="A721" s="7" t="s">
        <v>360</v>
      </c>
      <c r="B721" s="4">
        <v>3501886</v>
      </c>
      <c r="C721" s="3"/>
      <c r="D721" s="9" t="s">
        <v>990</v>
      </c>
      <c r="E721" s="4">
        <v>1</v>
      </c>
      <c r="F721" s="10"/>
      <c r="G721" s="3">
        <f>0.44*F721</f>
        <v>0</v>
      </c>
      <c r="H721" s="3">
        <f>0.000931*F721</f>
        <v>0</v>
      </c>
      <c r="I721" s="3"/>
      <c r="J721" s="3" t="s">
        <v>299</v>
      </c>
    </row>
    <row r="722" spans="1:10" ht="46.9" hidden="1" customHeight="1">
      <c r="A722" s="7" t="s">
        <v>355</v>
      </c>
      <c r="B722" s="4">
        <v>2800117</v>
      </c>
      <c r="C722" s="3"/>
      <c r="D722" s="9" t="s">
        <v>991</v>
      </c>
      <c r="E722" s="4">
        <v>36</v>
      </c>
      <c r="F722" s="10"/>
      <c r="G722" s="3">
        <f>0.26*F722</f>
        <v>0</v>
      </c>
      <c r="H722" s="3">
        <f>0.003043507*F722</f>
        <v>0</v>
      </c>
      <c r="I722" s="3"/>
      <c r="J722" s="3" t="s">
        <v>299</v>
      </c>
    </row>
    <row r="723" spans="1:10" ht="46.9" hidden="1" customHeight="1">
      <c r="A723" s="7" t="s">
        <v>360</v>
      </c>
      <c r="B723" s="4" t="s">
        <v>992</v>
      </c>
      <c r="C723" s="3"/>
      <c r="D723" s="9" t="s">
        <v>993</v>
      </c>
      <c r="E723" s="4">
        <v>48</v>
      </c>
      <c r="F723" s="10"/>
      <c r="G723" s="3">
        <f>0.19*F723</f>
        <v>0</v>
      </c>
      <c r="H723" s="3">
        <f>0.000966*F723</f>
        <v>0</v>
      </c>
      <c r="I723" s="3"/>
      <c r="J723" s="3" t="s">
        <v>299</v>
      </c>
    </row>
    <row r="724" spans="1:10" ht="46.9" hidden="1" customHeight="1">
      <c r="A724" s="7" t="s">
        <v>360</v>
      </c>
      <c r="B724" s="4">
        <v>3950022</v>
      </c>
      <c r="C724" s="3"/>
      <c r="D724" s="9" t="s">
        <v>994</v>
      </c>
      <c r="E724" s="4">
        <v>12</v>
      </c>
      <c r="F724" s="10"/>
      <c r="G724" s="3">
        <f>0.35*F724</f>
        <v>0</v>
      </c>
      <c r="H724" s="3">
        <f>0.004929167*F724</f>
        <v>0</v>
      </c>
      <c r="I724" s="3"/>
      <c r="J724" s="3" t="s">
        <v>299</v>
      </c>
    </row>
    <row r="725" spans="1:10" ht="46.9" hidden="1" customHeight="1">
      <c r="A725" s="7" t="s">
        <v>355</v>
      </c>
      <c r="B725" s="4">
        <v>3950091</v>
      </c>
      <c r="C725" s="3"/>
      <c r="D725" s="9" t="s">
        <v>995</v>
      </c>
      <c r="E725" s="4">
        <v>6</v>
      </c>
      <c r="F725" s="10"/>
      <c r="G725" s="3">
        <f>0.29*F725</f>
        <v>0</v>
      </c>
      <c r="H725" s="3">
        <f>0.00132*F725</f>
        <v>0</v>
      </c>
      <c r="I725" s="3"/>
      <c r="J725" s="3" t="s">
        <v>299</v>
      </c>
    </row>
    <row r="726" spans="1:10" ht="46.9" hidden="1" customHeight="1">
      <c r="A726" s="7" t="s">
        <v>355</v>
      </c>
      <c r="B726" s="4">
        <v>3950098</v>
      </c>
      <c r="C726" s="3"/>
      <c r="D726" s="9" t="s">
        <v>996</v>
      </c>
      <c r="E726" s="4">
        <v>6</v>
      </c>
      <c r="F726" s="10"/>
      <c r="G726" s="3">
        <f>0.29*F726</f>
        <v>0</v>
      </c>
      <c r="H726" s="3">
        <f>0.00132*F726</f>
        <v>0</v>
      </c>
      <c r="I726" s="3"/>
      <c r="J726" s="3" t="s">
        <v>299</v>
      </c>
    </row>
    <row r="727" spans="1:10" ht="46.9" hidden="1" customHeight="1">
      <c r="A727" s="7" t="s">
        <v>360</v>
      </c>
      <c r="B727" s="4">
        <v>3950097</v>
      </c>
      <c r="C727" s="3"/>
      <c r="D727" s="9" t="s">
        <v>997</v>
      </c>
      <c r="E727" s="4">
        <v>6</v>
      </c>
      <c r="F727" s="10"/>
      <c r="G727" s="3">
        <f>0.29*F727</f>
        <v>0</v>
      </c>
      <c r="H727" s="3">
        <f>0.00132*F727</f>
        <v>0</v>
      </c>
      <c r="I727" s="3"/>
      <c r="J727" s="3" t="s">
        <v>299</v>
      </c>
    </row>
    <row r="728" spans="1:10" ht="46.9" hidden="1" customHeight="1">
      <c r="A728" s="7" t="s">
        <v>355</v>
      </c>
      <c r="B728" s="4">
        <v>3800019</v>
      </c>
      <c r="C728" s="3"/>
      <c r="D728" s="9" t="s">
        <v>998</v>
      </c>
      <c r="E728" s="4">
        <v>50</v>
      </c>
      <c r="F728" s="10"/>
      <c r="G728" s="3">
        <f>0.29*F728</f>
        <v>0</v>
      </c>
      <c r="H728" s="3">
        <f>0.00120384*F728</f>
        <v>0</v>
      </c>
      <c r="I728" s="3"/>
      <c r="J728" s="3" t="s">
        <v>299</v>
      </c>
    </row>
    <row r="729" spans="1:10" ht="46.9" hidden="1" customHeight="1">
      <c r="A729" s="7" t="s">
        <v>355</v>
      </c>
      <c r="B729" s="4">
        <v>3800020</v>
      </c>
      <c r="C729" s="3"/>
      <c r="D729" s="9" t="s">
        <v>999</v>
      </c>
      <c r="E729" s="4">
        <v>144</v>
      </c>
      <c r="F729" s="10"/>
      <c r="G729" s="3">
        <f>0.11*F729</f>
        <v>0</v>
      </c>
      <c r="H729" s="3">
        <f>0.000913889*F729</f>
        <v>0</v>
      </c>
      <c r="I729" s="3"/>
      <c r="J729" s="3" t="s">
        <v>299</v>
      </c>
    </row>
    <row r="730" spans="1:10" ht="46.9" hidden="1" customHeight="1">
      <c r="A730" s="7" t="s">
        <v>360</v>
      </c>
      <c r="B730" s="4">
        <v>2003275</v>
      </c>
      <c r="C730" s="3"/>
      <c r="D730" s="9" t="s">
        <v>1000</v>
      </c>
      <c r="E730" s="4">
        <v>12</v>
      </c>
      <c r="F730" s="10"/>
      <c r="G730" s="3">
        <f>0.98*F730</f>
        <v>0</v>
      </c>
      <c r="H730" s="3">
        <f>0.004575*F730</f>
        <v>0</v>
      </c>
      <c r="I730" s="3"/>
      <c r="J730" s="3" t="s">
        <v>299</v>
      </c>
    </row>
    <row r="731" spans="1:10" ht="46.9" hidden="1" customHeight="1">
      <c r="A731" s="7" t="s">
        <v>355</v>
      </c>
      <c r="B731" s="4">
        <v>2303993</v>
      </c>
      <c r="C731" s="3"/>
      <c r="D731" s="9" t="s">
        <v>1001</v>
      </c>
      <c r="E731" s="4">
        <v>12</v>
      </c>
      <c r="F731" s="10"/>
      <c r="G731" s="3">
        <f>0.97*F731</f>
        <v>0</v>
      </c>
      <c r="H731" s="3">
        <f>0.00758625*F731</f>
        <v>0</v>
      </c>
      <c r="I731" s="3"/>
      <c r="J731" s="3" t="s">
        <v>299</v>
      </c>
    </row>
    <row r="732" spans="1:10" ht="46.9" hidden="1" customHeight="1">
      <c r="A732" s="7" t="s">
        <v>360</v>
      </c>
      <c r="B732" s="4">
        <v>2801727</v>
      </c>
      <c r="C732" s="3"/>
      <c r="D732" s="9" t="s">
        <v>1002</v>
      </c>
      <c r="E732" s="4">
        <v>24</v>
      </c>
      <c r="F732" s="10"/>
      <c r="G732" s="3">
        <f>0.29*F732</f>
        <v>0</v>
      </c>
      <c r="H732" s="3">
        <f>0.002106*F732</f>
        <v>0</v>
      </c>
      <c r="I732" s="3"/>
      <c r="J732" s="3" t="s">
        <v>299</v>
      </c>
    </row>
    <row r="733" spans="1:10" ht="46.9" hidden="1" customHeight="1">
      <c r="A733" s="7" t="s">
        <v>360</v>
      </c>
      <c r="B733" s="4">
        <v>2801734</v>
      </c>
      <c r="C733" s="3"/>
      <c r="D733" s="9" t="s">
        <v>1003</v>
      </c>
      <c r="E733" s="4">
        <v>24</v>
      </c>
      <c r="F733" s="10"/>
      <c r="G733" s="3">
        <f>0.28*F733</f>
        <v>0</v>
      </c>
      <c r="H733" s="3">
        <f>0.002206125*F733</f>
        <v>0</v>
      </c>
      <c r="I733" s="3"/>
      <c r="J733" s="3" t="s">
        <v>299</v>
      </c>
    </row>
    <row r="734" spans="1:10" ht="46.9" hidden="1" customHeight="1">
      <c r="A734" s="7" t="s">
        <v>360</v>
      </c>
      <c r="B734" s="4">
        <v>1104232</v>
      </c>
      <c r="C734" s="3"/>
      <c r="D734" s="9" t="s">
        <v>1004</v>
      </c>
      <c r="E734" s="4">
        <v>8</v>
      </c>
      <c r="F734" s="10"/>
      <c r="G734" s="3">
        <f>1.66*F734</f>
        <v>0</v>
      </c>
      <c r="H734" s="3">
        <f>0.010946391*F734</f>
        <v>0</v>
      </c>
      <c r="I734" s="3"/>
      <c r="J734" s="3" t="s">
        <v>299</v>
      </c>
    </row>
    <row r="735" spans="1:10" ht="46.9" hidden="1" customHeight="1">
      <c r="A735" s="7" t="s">
        <v>355</v>
      </c>
      <c r="B735" s="4">
        <v>1110608</v>
      </c>
      <c r="C735" s="3"/>
      <c r="D735" s="9" t="s">
        <v>1005</v>
      </c>
      <c r="E735" s="4">
        <v>4</v>
      </c>
      <c r="F735" s="10"/>
      <c r="G735" s="3">
        <f>1.42*F735</f>
        <v>0</v>
      </c>
      <c r="H735" s="3">
        <f>0.015552*F735</f>
        <v>0</v>
      </c>
      <c r="I735" s="3"/>
      <c r="J735" s="3" t="s">
        <v>299</v>
      </c>
    </row>
    <row r="736" spans="1:10" ht="46.9" hidden="1" customHeight="1">
      <c r="A736" s="7" t="s">
        <v>355</v>
      </c>
      <c r="B736" s="4">
        <v>1105451</v>
      </c>
      <c r="C736" s="3"/>
      <c r="D736" s="9" t="s">
        <v>1006</v>
      </c>
      <c r="E736" s="4">
        <v>24</v>
      </c>
      <c r="F736" s="10"/>
      <c r="G736" s="3">
        <f>0.56*F736</f>
        <v>0</v>
      </c>
      <c r="H736" s="3">
        <f>0.002349667*F736</f>
        <v>0</v>
      </c>
      <c r="I736" s="3"/>
      <c r="J736" s="3" t="s">
        <v>299</v>
      </c>
    </row>
    <row r="737" spans="1:10" ht="46.9" hidden="1" customHeight="1">
      <c r="A737" s="7" t="s">
        <v>355</v>
      </c>
      <c r="B737" s="4">
        <v>8500223</v>
      </c>
      <c r="C737" s="3"/>
      <c r="D737" s="9" t="s">
        <v>1007</v>
      </c>
      <c r="E737" s="4">
        <v>36</v>
      </c>
      <c r="F737" s="10"/>
      <c r="G737" s="3">
        <f>0.33*F737</f>
        <v>0</v>
      </c>
      <c r="H737" s="3">
        <f>0.002031635*F737</f>
        <v>0</v>
      </c>
      <c r="I737" s="3"/>
      <c r="J737" s="3" t="s">
        <v>299</v>
      </c>
    </row>
    <row r="738" spans="1:10" ht="18.75" hidden="1">
      <c r="A738" s="6"/>
      <c r="B738" s="19" t="s">
        <v>1008</v>
      </c>
      <c r="C738" s="20"/>
      <c r="D738" s="20"/>
      <c r="E738" s="20"/>
      <c r="F738" s="20"/>
      <c r="G738" s="20"/>
      <c r="H738" s="20"/>
      <c r="I738" s="20"/>
      <c r="J738" s="21"/>
    </row>
    <row r="739" spans="1:10" ht="46.9" hidden="1" customHeight="1">
      <c r="A739" s="7" t="s">
        <v>355</v>
      </c>
      <c r="B739" s="4">
        <v>1100984</v>
      </c>
      <c r="C739" s="3"/>
      <c r="D739" s="9" t="s">
        <v>1009</v>
      </c>
      <c r="E739" s="4">
        <v>3</v>
      </c>
      <c r="F739" s="10"/>
      <c r="G739" s="3">
        <f>1.8*F739</f>
        <v>0</v>
      </c>
      <c r="H739" s="3">
        <f>0.020328*F739</f>
        <v>0</v>
      </c>
      <c r="I739" s="3"/>
      <c r="J739" s="3" t="s">
        <v>299</v>
      </c>
    </row>
    <row r="740" spans="1:10" ht="46.9" hidden="1" customHeight="1">
      <c r="A740" s="7" t="s">
        <v>360</v>
      </c>
      <c r="B740" s="4">
        <v>1105178</v>
      </c>
      <c r="C740" s="3"/>
      <c r="D740" s="9" t="s">
        <v>1010</v>
      </c>
      <c r="E740" s="4">
        <v>12</v>
      </c>
      <c r="F740" s="10"/>
      <c r="G740" s="3">
        <f>1.28*F740</f>
        <v>0</v>
      </c>
      <c r="H740" s="3">
        <f>0.012844*F740</f>
        <v>0</v>
      </c>
      <c r="I740" s="3"/>
      <c r="J740" s="3" t="s">
        <v>299</v>
      </c>
    </row>
    <row r="741" spans="1:10" ht="46.9" hidden="1" customHeight="1">
      <c r="A741" s="7" t="s">
        <v>360</v>
      </c>
      <c r="B741" s="4">
        <v>1105185</v>
      </c>
      <c r="C741" s="3"/>
      <c r="D741" s="9" t="s">
        <v>1011</v>
      </c>
      <c r="E741" s="4">
        <v>12</v>
      </c>
      <c r="F741" s="10"/>
      <c r="G741" s="3">
        <f>0.91*F741</f>
        <v>0</v>
      </c>
      <c r="H741" s="3">
        <f>0.00801*F741</f>
        <v>0</v>
      </c>
      <c r="I741" s="3"/>
      <c r="J741" s="3" t="s">
        <v>299</v>
      </c>
    </row>
    <row r="742" spans="1:10" ht="46.9" hidden="1" customHeight="1">
      <c r="A742" s="7" t="s">
        <v>360</v>
      </c>
      <c r="B742" s="4">
        <v>1105192</v>
      </c>
      <c r="C742" s="3"/>
      <c r="D742" s="9" t="s">
        <v>1012</v>
      </c>
      <c r="E742" s="4">
        <v>12</v>
      </c>
      <c r="F742" s="10"/>
      <c r="G742" s="3">
        <f>0.59*F742</f>
        <v>0</v>
      </c>
      <c r="H742" s="3">
        <f>0.0042735*F742</f>
        <v>0</v>
      </c>
      <c r="I742" s="3"/>
      <c r="J742" s="3" t="s">
        <v>299</v>
      </c>
    </row>
    <row r="743" spans="1:10" ht="46.9" hidden="1" customHeight="1">
      <c r="A743" s="7" t="s">
        <v>355</v>
      </c>
      <c r="B743" s="4">
        <v>1106373</v>
      </c>
      <c r="C743" s="3"/>
      <c r="D743" s="9" t="s">
        <v>1013</v>
      </c>
      <c r="E743" s="4">
        <v>18</v>
      </c>
      <c r="F743" s="10"/>
      <c r="G743" s="3">
        <f>0.33*F743</f>
        <v>0</v>
      </c>
      <c r="H743" s="3">
        <f>0.001733333*F743</f>
        <v>0</v>
      </c>
      <c r="I743" s="3"/>
      <c r="J743" s="3" t="s">
        <v>299</v>
      </c>
    </row>
    <row r="744" spans="1:10" ht="46.9" hidden="1" customHeight="1">
      <c r="A744" s="7" t="s">
        <v>355</v>
      </c>
      <c r="B744" s="4">
        <v>1106380</v>
      </c>
      <c r="C744" s="3"/>
      <c r="D744" s="9" t="s">
        <v>1014</v>
      </c>
      <c r="E744" s="4">
        <v>18</v>
      </c>
      <c r="F744" s="10"/>
      <c r="G744" s="3">
        <f>0.4*F744</f>
        <v>0</v>
      </c>
      <c r="H744" s="3">
        <f>0.002053125*F744</f>
        <v>0</v>
      </c>
      <c r="I744" s="3"/>
      <c r="J744" s="3" t="s">
        <v>299</v>
      </c>
    </row>
    <row r="745" spans="1:10" ht="46.9" hidden="1" customHeight="1">
      <c r="A745" s="7" t="s">
        <v>355</v>
      </c>
      <c r="B745" s="4">
        <v>1106403</v>
      </c>
      <c r="C745" s="3"/>
      <c r="D745" s="9" t="s">
        <v>1015</v>
      </c>
      <c r="E745" s="4">
        <v>18</v>
      </c>
      <c r="F745" s="10"/>
      <c r="G745" s="3">
        <f>0.53*F745</f>
        <v>0</v>
      </c>
      <c r="H745" s="3">
        <f>0.002966667*F745</f>
        <v>0</v>
      </c>
      <c r="I745" s="3"/>
      <c r="J745" s="3" t="s">
        <v>299</v>
      </c>
    </row>
    <row r="746" spans="1:10" ht="46.9" hidden="1" customHeight="1">
      <c r="A746" s="7" t="s">
        <v>360</v>
      </c>
      <c r="B746" s="4">
        <v>1109275</v>
      </c>
      <c r="C746" s="3"/>
      <c r="D746" s="9" t="s">
        <v>1016</v>
      </c>
      <c r="E746" s="4">
        <v>24</v>
      </c>
      <c r="F746" s="10"/>
      <c r="G746" s="3">
        <f>0.56*F746</f>
        <v>0</v>
      </c>
      <c r="H746" s="3">
        <f>0.002122313*F746</f>
        <v>0</v>
      </c>
      <c r="I746" s="3"/>
      <c r="J746" s="3" t="s">
        <v>299</v>
      </c>
    </row>
    <row r="747" spans="1:10" ht="46.9" hidden="1" customHeight="1">
      <c r="A747" s="7" t="s">
        <v>360</v>
      </c>
      <c r="B747" s="4">
        <v>1109299</v>
      </c>
      <c r="C747" s="3"/>
      <c r="D747" s="9" t="s">
        <v>1017</v>
      </c>
      <c r="E747" s="4">
        <v>24</v>
      </c>
      <c r="F747" s="10"/>
      <c r="G747" s="3">
        <f>0.81*F747</f>
        <v>0</v>
      </c>
      <c r="H747" s="3">
        <f>0.007896*F747</f>
        <v>0</v>
      </c>
      <c r="I747" s="3"/>
      <c r="J747" s="3" t="s">
        <v>299</v>
      </c>
    </row>
    <row r="748" spans="1:10" ht="46.9" hidden="1" customHeight="1">
      <c r="A748" s="7" t="s">
        <v>355</v>
      </c>
      <c r="B748" s="4">
        <v>3501084</v>
      </c>
      <c r="C748" s="3"/>
      <c r="D748" s="9" t="s">
        <v>1018</v>
      </c>
      <c r="E748" s="4">
        <v>18</v>
      </c>
      <c r="F748" s="10"/>
      <c r="G748" s="3">
        <f>0.42*F748</f>
        <v>0</v>
      </c>
      <c r="H748" s="3">
        <f>0.002333333*F748</f>
        <v>0</v>
      </c>
      <c r="I748" s="3"/>
      <c r="J748" s="3" t="s">
        <v>299</v>
      </c>
    </row>
    <row r="749" spans="1:10" ht="46.9" hidden="1" customHeight="1">
      <c r="A749" s="7" t="s">
        <v>355</v>
      </c>
      <c r="B749" s="4">
        <v>3501107</v>
      </c>
      <c r="C749" s="3"/>
      <c r="D749" s="9" t="s">
        <v>1019</v>
      </c>
      <c r="E749" s="4">
        <v>48</v>
      </c>
      <c r="F749" s="10"/>
      <c r="G749" s="3">
        <f>0.26*F749</f>
        <v>0</v>
      </c>
      <c r="H749" s="3">
        <f>0.001290219*F749</f>
        <v>0</v>
      </c>
      <c r="I749" s="3"/>
      <c r="J749" s="3" t="s">
        <v>299</v>
      </c>
    </row>
    <row r="750" spans="1:10" ht="46.9" hidden="1" customHeight="1">
      <c r="A750" s="7" t="s">
        <v>360</v>
      </c>
      <c r="B750" s="4">
        <v>3700062</v>
      </c>
      <c r="C750" s="3"/>
      <c r="D750" s="9" t="s">
        <v>1020</v>
      </c>
      <c r="E750" s="4">
        <v>8</v>
      </c>
      <c r="F750" s="10"/>
      <c r="G750" s="3">
        <f>0.65*F750</f>
        <v>0</v>
      </c>
      <c r="H750" s="3">
        <f>0.005568313*F750</f>
        <v>0</v>
      </c>
      <c r="I750" s="3"/>
      <c r="J750" s="3" t="s">
        <v>299</v>
      </c>
    </row>
    <row r="751" spans="1:10" ht="46.9" hidden="1" customHeight="1">
      <c r="A751" s="7" t="s">
        <v>360</v>
      </c>
      <c r="B751" s="4">
        <v>3700063</v>
      </c>
      <c r="C751" s="3"/>
      <c r="D751" s="9" t="s">
        <v>1021</v>
      </c>
      <c r="E751" s="4">
        <v>6</v>
      </c>
      <c r="F751" s="10"/>
      <c r="G751" s="3">
        <f>0.93*F751</f>
        <v>0</v>
      </c>
      <c r="H751" s="3">
        <f>0.009342667*F751</f>
        <v>0</v>
      </c>
      <c r="I751" s="3"/>
      <c r="J751" s="3" t="s">
        <v>299</v>
      </c>
    </row>
    <row r="752" spans="1:10" ht="46.9" hidden="1" customHeight="1">
      <c r="A752" s="7" t="s">
        <v>360</v>
      </c>
      <c r="B752" s="4">
        <v>3700064</v>
      </c>
      <c r="C752" s="3"/>
      <c r="D752" s="9" t="s">
        <v>1022</v>
      </c>
      <c r="E752" s="4">
        <v>4</v>
      </c>
      <c r="F752" s="10"/>
      <c r="G752" s="3">
        <f>1.33*F752</f>
        <v>0</v>
      </c>
      <c r="H752" s="3">
        <f>0.014132063*F752</f>
        <v>0</v>
      </c>
      <c r="I752" s="3"/>
      <c r="J752" s="3" t="s">
        <v>299</v>
      </c>
    </row>
    <row r="753" spans="1:10" ht="46.9" hidden="1" customHeight="1">
      <c r="A753" s="7" t="s">
        <v>360</v>
      </c>
      <c r="B753" s="4">
        <v>1106251</v>
      </c>
      <c r="C753" s="3"/>
      <c r="D753" s="9" t="s">
        <v>1023</v>
      </c>
      <c r="E753" s="4">
        <v>4</v>
      </c>
      <c r="F753" s="10"/>
      <c r="G753" s="3">
        <f>2.58*F753</f>
        <v>0</v>
      </c>
      <c r="H753" s="3">
        <f>0.01309*F753</f>
        <v>0</v>
      </c>
      <c r="I753" s="3"/>
      <c r="J753" s="3" t="s">
        <v>299</v>
      </c>
    </row>
    <row r="754" spans="1:10" ht="46.9" hidden="1" customHeight="1">
      <c r="A754" s="7" t="s">
        <v>355</v>
      </c>
      <c r="B754" s="4">
        <v>3700068</v>
      </c>
      <c r="C754" s="3"/>
      <c r="D754" s="9" t="s">
        <v>1024</v>
      </c>
      <c r="E754" s="4">
        <v>18</v>
      </c>
      <c r="F754" s="10"/>
      <c r="G754" s="3">
        <f>0.5*F754</f>
        <v>0</v>
      </c>
      <c r="H754" s="3">
        <f>0.00325*F754</f>
        <v>0</v>
      </c>
      <c r="I754" s="3"/>
      <c r="J754" s="3" t="s">
        <v>299</v>
      </c>
    </row>
    <row r="755" spans="1:10" ht="46.9" hidden="1" customHeight="1">
      <c r="A755" s="7" t="s">
        <v>355</v>
      </c>
      <c r="B755" s="4">
        <v>3700069</v>
      </c>
      <c r="C755" s="3"/>
      <c r="D755" s="9" t="s">
        <v>1025</v>
      </c>
      <c r="E755" s="4">
        <v>12</v>
      </c>
      <c r="F755" s="10"/>
      <c r="G755" s="3">
        <f>0.71*F755</f>
        <v>0</v>
      </c>
      <c r="H755" s="3">
        <f>0.004833333*F755</f>
        <v>0</v>
      </c>
      <c r="I755" s="3"/>
      <c r="J755" s="3" t="s">
        <v>299</v>
      </c>
    </row>
    <row r="756" spans="1:10" ht="46.9" hidden="1" customHeight="1">
      <c r="A756" s="7" t="s">
        <v>355</v>
      </c>
      <c r="B756" s="4">
        <v>3700070</v>
      </c>
      <c r="C756" s="3"/>
      <c r="D756" s="9" t="s">
        <v>1026</v>
      </c>
      <c r="E756" s="4">
        <v>24</v>
      </c>
      <c r="F756" s="10"/>
      <c r="G756" s="3">
        <f>0.32*F756</f>
        <v>0</v>
      </c>
      <c r="H756" s="3">
        <f>0.001900063*F756</f>
        <v>0</v>
      </c>
      <c r="I756" s="3"/>
      <c r="J756" s="3" t="s">
        <v>299</v>
      </c>
    </row>
    <row r="757" spans="1:10" ht="46.9" hidden="1" customHeight="1">
      <c r="A757" s="7" t="s">
        <v>355</v>
      </c>
      <c r="B757" s="4">
        <v>3700071</v>
      </c>
      <c r="C757" s="3"/>
      <c r="D757" s="9" t="s">
        <v>1027</v>
      </c>
      <c r="E757" s="4">
        <v>12</v>
      </c>
      <c r="F757" s="10"/>
      <c r="G757" s="3">
        <f>0.75*F757</f>
        <v>0</v>
      </c>
      <c r="H757" s="3">
        <f>0.006062104*F757</f>
        <v>0</v>
      </c>
      <c r="I757" s="3"/>
      <c r="J757" s="3" t="s">
        <v>299</v>
      </c>
    </row>
    <row r="758" spans="1:10" ht="46.9" hidden="1" customHeight="1">
      <c r="A758" s="7" t="s">
        <v>355</v>
      </c>
      <c r="B758" s="4">
        <v>3950052</v>
      </c>
      <c r="C758" s="3"/>
      <c r="D758" s="9" t="s">
        <v>1028</v>
      </c>
      <c r="E758" s="4">
        <v>12</v>
      </c>
      <c r="F758" s="10"/>
      <c r="G758" s="3">
        <f>0.47*F758</f>
        <v>0</v>
      </c>
      <c r="H758" s="3">
        <f>0.0027885*F758</f>
        <v>0</v>
      </c>
      <c r="I758" s="3"/>
      <c r="J758" s="3" t="s">
        <v>299</v>
      </c>
    </row>
    <row r="759" spans="1:10" ht="46.9" hidden="1" customHeight="1">
      <c r="A759" s="7" t="s">
        <v>355</v>
      </c>
      <c r="B759" s="4">
        <v>3950053</v>
      </c>
      <c r="C759" s="3"/>
      <c r="D759" s="9" t="s">
        <v>1029</v>
      </c>
      <c r="E759" s="4">
        <v>18</v>
      </c>
      <c r="F759" s="10"/>
      <c r="G759" s="3">
        <f>0.36*F759</f>
        <v>0</v>
      </c>
      <c r="H759" s="3">
        <f>0.001915333*F759</f>
        <v>0</v>
      </c>
      <c r="I759" s="3"/>
      <c r="J759" s="3" t="s">
        <v>299</v>
      </c>
    </row>
    <row r="760" spans="1:10" ht="46.9" hidden="1" customHeight="1">
      <c r="A760" s="7" t="s">
        <v>355</v>
      </c>
      <c r="B760" s="4">
        <v>3950054</v>
      </c>
      <c r="C760" s="3"/>
      <c r="D760" s="9" t="s">
        <v>1030</v>
      </c>
      <c r="E760" s="4">
        <v>8</v>
      </c>
      <c r="F760" s="10"/>
      <c r="G760" s="3">
        <f>0.64*F760</f>
        <v>0</v>
      </c>
      <c r="H760" s="3">
        <f>0.0033235*F760</f>
        <v>0</v>
      </c>
      <c r="I760" s="3"/>
      <c r="J760" s="3" t="s">
        <v>299</v>
      </c>
    </row>
    <row r="761" spans="1:10" ht="46.9" hidden="1" customHeight="1">
      <c r="A761" s="7" t="s">
        <v>355</v>
      </c>
      <c r="B761" s="4">
        <v>3950055</v>
      </c>
      <c r="C761" s="3"/>
      <c r="D761" s="9" t="s">
        <v>1031</v>
      </c>
      <c r="E761" s="4">
        <v>6</v>
      </c>
      <c r="F761" s="10"/>
      <c r="G761" s="3">
        <f>0.96*F761</f>
        <v>0</v>
      </c>
      <c r="H761" s="3">
        <f>0.006808*F761</f>
        <v>0</v>
      </c>
      <c r="I761" s="3"/>
      <c r="J761" s="3" t="s">
        <v>299</v>
      </c>
    </row>
    <row r="762" spans="1:10" ht="46.9" hidden="1" customHeight="1">
      <c r="A762" s="7" t="s">
        <v>355</v>
      </c>
      <c r="B762" s="4">
        <v>3950056</v>
      </c>
      <c r="C762" s="3"/>
      <c r="D762" s="9" t="s">
        <v>1032</v>
      </c>
      <c r="E762" s="4">
        <v>6</v>
      </c>
      <c r="F762" s="10"/>
      <c r="G762" s="3">
        <f>1.02*F762</f>
        <v>0</v>
      </c>
      <c r="H762" s="3">
        <f>0.006933333*F762</f>
        <v>0</v>
      </c>
      <c r="I762" s="3"/>
      <c r="J762" s="3" t="s">
        <v>299</v>
      </c>
    </row>
    <row r="763" spans="1:10" ht="46.9" hidden="1" customHeight="1">
      <c r="A763" s="7" t="s">
        <v>355</v>
      </c>
      <c r="B763" s="4">
        <v>3950059</v>
      </c>
      <c r="C763" s="3"/>
      <c r="D763" s="9" t="s">
        <v>1033</v>
      </c>
      <c r="E763" s="4">
        <v>6</v>
      </c>
      <c r="F763" s="10"/>
      <c r="G763" s="3">
        <f>0.96*F763</f>
        <v>0</v>
      </c>
      <c r="H763" s="3">
        <f>0.009945*F763</f>
        <v>0</v>
      </c>
      <c r="I763" s="3"/>
      <c r="J763" s="3" t="s">
        <v>299</v>
      </c>
    </row>
    <row r="764" spans="1:10" ht="46.9" hidden="1" customHeight="1">
      <c r="A764" s="7" t="s">
        <v>360</v>
      </c>
      <c r="B764" s="4">
        <v>3950062</v>
      </c>
      <c r="C764" s="3"/>
      <c r="D764" s="9" t="s">
        <v>1034</v>
      </c>
      <c r="E764" s="4">
        <v>12</v>
      </c>
      <c r="F764" s="10"/>
      <c r="G764" s="3">
        <f>0.99*F764</f>
        <v>0</v>
      </c>
      <c r="H764" s="3">
        <f>0.00378*F764</f>
        <v>0</v>
      </c>
      <c r="I764" s="3"/>
      <c r="J764" s="3" t="s">
        <v>299</v>
      </c>
    </row>
    <row r="765" spans="1:10" ht="46.9" hidden="1" customHeight="1">
      <c r="A765" s="7" t="s">
        <v>360</v>
      </c>
      <c r="B765" s="4">
        <v>3950077</v>
      </c>
      <c r="C765" s="3"/>
      <c r="D765" s="9" t="s">
        <v>1035</v>
      </c>
      <c r="E765" s="4">
        <v>6</v>
      </c>
      <c r="F765" s="10"/>
      <c r="G765" s="3">
        <f>1.1*F765</f>
        <v>0</v>
      </c>
      <c r="H765" s="3">
        <f>0.008398*F765</f>
        <v>0</v>
      </c>
      <c r="I765" s="3"/>
      <c r="J765" s="3" t="s">
        <v>299</v>
      </c>
    </row>
    <row r="766" spans="1:10" ht="46.9" hidden="1" customHeight="1">
      <c r="A766" s="7" t="s">
        <v>355</v>
      </c>
      <c r="B766" s="4">
        <v>3950078</v>
      </c>
      <c r="C766" s="3"/>
      <c r="D766" s="9" t="s">
        <v>1036</v>
      </c>
      <c r="E766" s="4">
        <v>10</v>
      </c>
      <c r="F766" s="10"/>
      <c r="G766" s="3">
        <f>0.58*F766</f>
        <v>0</v>
      </c>
      <c r="H766" s="3">
        <f>0.0038665*F766</f>
        <v>0</v>
      </c>
      <c r="I766" s="3"/>
      <c r="J766" s="3" t="s">
        <v>299</v>
      </c>
    </row>
    <row r="767" spans="1:10" ht="46.9" hidden="1" customHeight="1">
      <c r="A767" s="7" t="s">
        <v>360</v>
      </c>
      <c r="B767" s="4">
        <v>3950081</v>
      </c>
      <c r="C767" s="3"/>
      <c r="D767" s="9" t="s">
        <v>1037</v>
      </c>
      <c r="E767" s="4">
        <v>12</v>
      </c>
      <c r="F767" s="10"/>
      <c r="G767" s="3">
        <f>0.73*F767</f>
        <v>0</v>
      </c>
      <c r="H767" s="3">
        <f>0.003552*F767</f>
        <v>0</v>
      </c>
      <c r="I767" s="3"/>
      <c r="J767" s="3" t="s">
        <v>299</v>
      </c>
    </row>
    <row r="768" spans="1:10" ht="46.9" hidden="1" customHeight="1">
      <c r="A768" s="7" t="s">
        <v>355</v>
      </c>
      <c r="B768" s="4">
        <v>3950096</v>
      </c>
      <c r="C768" s="3"/>
      <c r="D768" s="9" t="s">
        <v>1038</v>
      </c>
      <c r="E768" s="4">
        <v>6</v>
      </c>
      <c r="F768" s="10"/>
      <c r="G768" s="3">
        <f>0.9*F768</f>
        <v>0</v>
      </c>
      <c r="H768" s="3">
        <f>0.009282*F768</f>
        <v>0</v>
      </c>
      <c r="I768" s="3"/>
      <c r="J768" s="3" t="s">
        <v>299</v>
      </c>
    </row>
    <row r="769" spans="1:10" ht="46.9" hidden="1" customHeight="1">
      <c r="A769" s="7" t="s">
        <v>355</v>
      </c>
      <c r="B769" s="4">
        <v>3950122</v>
      </c>
      <c r="C769" s="3"/>
      <c r="D769" s="9" t="s">
        <v>1039</v>
      </c>
      <c r="E769" s="4">
        <v>12</v>
      </c>
      <c r="F769" s="10"/>
      <c r="G769" s="3">
        <f>0.32*F769</f>
        <v>0</v>
      </c>
      <c r="H769" s="3">
        <f>0.002085333*F769</f>
        <v>0</v>
      </c>
      <c r="I769" s="3"/>
      <c r="J769" s="3" t="s">
        <v>299</v>
      </c>
    </row>
    <row r="770" spans="1:10" ht="46.9" hidden="1" customHeight="1">
      <c r="A770" s="7" t="s">
        <v>355</v>
      </c>
      <c r="B770" s="4">
        <v>3950125</v>
      </c>
      <c r="C770" s="3"/>
      <c r="D770" s="9" t="s">
        <v>1040</v>
      </c>
      <c r="E770" s="4">
        <v>8</v>
      </c>
      <c r="F770" s="10"/>
      <c r="G770" s="3">
        <f>1.04*F770</f>
        <v>0</v>
      </c>
      <c r="H770" s="3">
        <f>0.0089505*F770</f>
        <v>0</v>
      </c>
      <c r="I770" s="3"/>
      <c r="J770" s="3" t="s">
        <v>299</v>
      </c>
    </row>
    <row r="771" spans="1:10" ht="46.9" hidden="1" customHeight="1">
      <c r="A771" s="7" t="s">
        <v>355</v>
      </c>
      <c r="B771" s="4">
        <v>3950126</v>
      </c>
      <c r="C771" s="3"/>
      <c r="D771" s="9" t="s">
        <v>1041</v>
      </c>
      <c r="E771" s="4">
        <v>12</v>
      </c>
      <c r="F771" s="10"/>
      <c r="G771" s="3">
        <f>0.58*F771</f>
        <v>0</v>
      </c>
      <c r="H771" s="3">
        <f>0.0037975*F771</f>
        <v>0</v>
      </c>
      <c r="I771" s="3"/>
      <c r="J771" s="3" t="s">
        <v>299</v>
      </c>
    </row>
    <row r="772" spans="1:10" ht="46.9" hidden="1" customHeight="1">
      <c r="A772" s="7" t="s">
        <v>355</v>
      </c>
      <c r="B772" s="4">
        <v>3950128</v>
      </c>
      <c r="C772" s="3"/>
      <c r="D772" s="9" t="s">
        <v>1042</v>
      </c>
      <c r="E772" s="4">
        <v>8</v>
      </c>
      <c r="F772" s="10"/>
      <c r="G772" s="3">
        <f>1.51*F772</f>
        <v>0</v>
      </c>
      <c r="H772" s="3">
        <f>0.010881*F772</f>
        <v>0</v>
      </c>
      <c r="I772" s="3"/>
      <c r="J772" s="3" t="s">
        <v>299</v>
      </c>
    </row>
    <row r="773" spans="1:10" ht="46.9" hidden="1" customHeight="1">
      <c r="A773" s="7" t="s">
        <v>355</v>
      </c>
      <c r="B773" s="4">
        <v>3950129</v>
      </c>
      <c r="C773" s="3"/>
      <c r="D773" s="9" t="s">
        <v>1043</v>
      </c>
      <c r="E773" s="4">
        <v>6</v>
      </c>
      <c r="F773" s="10"/>
      <c r="G773" s="3">
        <f>1.38*F773</f>
        <v>0</v>
      </c>
      <c r="H773" s="3">
        <f>0.0114*F773</f>
        <v>0</v>
      </c>
      <c r="I773" s="3"/>
      <c r="J773" s="3" t="s">
        <v>299</v>
      </c>
    </row>
    <row r="774" spans="1:10" ht="46.9" hidden="1" customHeight="1">
      <c r="A774" s="7" t="s">
        <v>355</v>
      </c>
      <c r="B774" s="4">
        <v>3950118</v>
      </c>
      <c r="C774" s="3"/>
      <c r="D774" s="9" t="s">
        <v>1044</v>
      </c>
      <c r="E774" s="4">
        <v>12</v>
      </c>
      <c r="F774" s="10"/>
      <c r="G774" s="3">
        <f>0.48*F774</f>
        <v>0</v>
      </c>
      <c r="H774" s="3">
        <f>0.004008333*F774</f>
        <v>0</v>
      </c>
      <c r="I774" s="3"/>
      <c r="J774" s="3" t="s">
        <v>299</v>
      </c>
    </row>
    <row r="775" spans="1:10" ht="46.9" hidden="1" customHeight="1">
      <c r="A775" s="7" t="s">
        <v>355</v>
      </c>
      <c r="B775" s="4">
        <v>3950120</v>
      </c>
      <c r="C775" s="3"/>
      <c r="D775" s="9" t="s">
        <v>1045</v>
      </c>
      <c r="E775" s="4">
        <v>12</v>
      </c>
      <c r="F775" s="10"/>
      <c r="G775" s="3">
        <f>0.63*F775</f>
        <v>0</v>
      </c>
      <c r="H775" s="3">
        <f>0.0057*F775</f>
        <v>0</v>
      </c>
      <c r="I775" s="3"/>
      <c r="J775" s="3" t="s">
        <v>299</v>
      </c>
    </row>
    <row r="776" spans="1:10" ht="46.9" hidden="1" customHeight="1">
      <c r="A776" s="7" t="s">
        <v>355</v>
      </c>
      <c r="B776" s="4">
        <v>3950132</v>
      </c>
      <c r="C776" s="3"/>
      <c r="D776" s="9" t="s">
        <v>1046</v>
      </c>
      <c r="E776" s="4">
        <v>12</v>
      </c>
      <c r="F776" s="10"/>
      <c r="G776" s="3">
        <f>0.24*F776</f>
        <v>0</v>
      </c>
      <c r="H776" s="3">
        <f>0.001271*F776</f>
        <v>0</v>
      </c>
      <c r="I776" s="3"/>
      <c r="J776" s="3" t="s">
        <v>299</v>
      </c>
    </row>
    <row r="777" spans="1:10" ht="46.9" hidden="1" customHeight="1">
      <c r="A777" s="7" t="s">
        <v>360</v>
      </c>
      <c r="B777" s="4">
        <v>3950133</v>
      </c>
      <c r="C777" s="3"/>
      <c r="D777" s="9" t="s">
        <v>0</v>
      </c>
      <c r="E777" s="4">
        <v>12</v>
      </c>
      <c r="F777" s="10"/>
      <c r="G777" s="3">
        <f>0.34*F777</f>
        <v>0</v>
      </c>
      <c r="H777" s="3">
        <f>0.00158875*F777</f>
        <v>0</v>
      </c>
      <c r="I777" s="3"/>
      <c r="J777" s="3" t="s">
        <v>299</v>
      </c>
    </row>
    <row r="778" spans="1:10" ht="46.9" hidden="1" customHeight="1">
      <c r="A778" s="7" t="s">
        <v>355</v>
      </c>
      <c r="B778" s="4">
        <v>3950134</v>
      </c>
      <c r="C778" s="3"/>
      <c r="D778" s="9" t="s">
        <v>1</v>
      </c>
      <c r="E778" s="4">
        <v>12</v>
      </c>
      <c r="F778" s="10"/>
      <c r="G778" s="3">
        <f>0.35*F778</f>
        <v>0</v>
      </c>
      <c r="H778" s="3">
        <f>0.002118333*F778</f>
        <v>0</v>
      </c>
      <c r="I778" s="3"/>
      <c r="J778" s="3" t="s">
        <v>299</v>
      </c>
    </row>
    <row r="779" spans="1:10" ht="46.9" hidden="1" customHeight="1">
      <c r="A779" s="7" t="s">
        <v>355</v>
      </c>
      <c r="B779" s="4">
        <v>3950137</v>
      </c>
      <c r="C779" s="3"/>
      <c r="D779" s="9" t="s">
        <v>2</v>
      </c>
      <c r="E779" s="4">
        <v>8</v>
      </c>
      <c r="F779" s="10"/>
      <c r="G779" s="3">
        <f>0.47*F779</f>
        <v>0</v>
      </c>
      <c r="H779" s="3">
        <f>0.004444625*F779</f>
        <v>0</v>
      </c>
      <c r="I779" s="3"/>
      <c r="J779" s="3" t="s">
        <v>299</v>
      </c>
    </row>
    <row r="780" spans="1:10" ht="46.9" hidden="1" customHeight="1">
      <c r="A780" s="7" t="s">
        <v>355</v>
      </c>
      <c r="B780" s="4">
        <v>1100196</v>
      </c>
      <c r="C780" s="3"/>
      <c r="D780" s="9" t="s">
        <v>3</v>
      </c>
      <c r="E780" s="4">
        <v>24</v>
      </c>
      <c r="F780" s="10"/>
      <c r="G780" s="3">
        <f>0.43*F780</f>
        <v>0</v>
      </c>
      <c r="H780" s="3">
        <f>0.0025025*F780</f>
        <v>0</v>
      </c>
      <c r="I780" s="3"/>
      <c r="J780" s="3" t="s">
        <v>299</v>
      </c>
    </row>
    <row r="781" spans="1:10" ht="46.9" hidden="1" customHeight="1">
      <c r="A781" s="7" t="s">
        <v>360</v>
      </c>
      <c r="B781" s="4">
        <v>1107132</v>
      </c>
      <c r="C781" s="3"/>
      <c r="D781" s="9" t="s">
        <v>4</v>
      </c>
      <c r="E781" s="4">
        <v>24</v>
      </c>
      <c r="F781" s="10"/>
      <c r="G781" s="3">
        <f>0*F781</f>
        <v>0</v>
      </c>
      <c r="H781" s="3">
        <f>0*F781</f>
        <v>0</v>
      </c>
      <c r="I781" s="3"/>
      <c r="J781" s="3" t="s">
        <v>299</v>
      </c>
    </row>
    <row r="782" spans="1:10" ht="46.9" hidden="1" customHeight="1">
      <c r="A782" s="7" t="s">
        <v>360</v>
      </c>
      <c r="B782" s="4">
        <v>2800049</v>
      </c>
      <c r="C782" s="3"/>
      <c r="D782" s="9" t="s">
        <v>5</v>
      </c>
      <c r="E782" s="4">
        <v>6</v>
      </c>
      <c r="F782" s="10"/>
      <c r="G782" s="3">
        <f>1.13*F782</f>
        <v>0</v>
      </c>
      <c r="H782" s="3">
        <f>0.008643417*F782</f>
        <v>0</v>
      </c>
      <c r="I782" s="3"/>
      <c r="J782" s="3" t="s">
        <v>299</v>
      </c>
    </row>
    <row r="783" spans="1:10" ht="46.9" hidden="1" customHeight="1">
      <c r="A783" s="7" t="s">
        <v>355</v>
      </c>
      <c r="B783" s="4">
        <v>2800057</v>
      </c>
      <c r="C783" s="3"/>
      <c r="D783" s="9" t="s">
        <v>6</v>
      </c>
      <c r="E783" s="4">
        <v>6</v>
      </c>
      <c r="F783" s="10"/>
      <c r="G783" s="3">
        <f>0.72*F783</f>
        <v>0</v>
      </c>
      <c r="H783" s="3">
        <f>0.002032917*F783</f>
        <v>0</v>
      </c>
      <c r="I783" s="3"/>
      <c r="J783" s="3" t="s">
        <v>299</v>
      </c>
    </row>
    <row r="784" spans="1:10" ht="46.9" hidden="1" customHeight="1">
      <c r="A784" s="7" t="s">
        <v>360</v>
      </c>
      <c r="B784" s="4">
        <v>2800059</v>
      </c>
      <c r="C784" s="3"/>
      <c r="D784" s="9" t="s">
        <v>7</v>
      </c>
      <c r="E784" s="4">
        <v>12</v>
      </c>
      <c r="F784" s="10"/>
      <c r="G784" s="3">
        <f>0.78*F784</f>
        <v>0</v>
      </c>
      <c r="H784" s="3">
        <f>0.003255875*F784</f>
        <v>0</v>
      </c>
      <c r="I784" s="3"/>
      <c r="J784" s="3" t="s">
        <v>299</v>
      </c>
    </row>
    <row r="785" spans="1:10" ht="46.9" hidden="1" customHeight="1">
      <c r="A785" s="7" t="s">
        <v>360</v>
      </c>
      <c r="B785" s="4">
        <v>2800060</v>
      </c>
      <c r="C785" s="3"/>
      <c r="D785" s="9" t="s">
        <v>8</v>
      </c>
      <c r="E785" s="4">
        <v>4</v>
      </c>
      <c r="F785" s="10"/>
      <c r="G785" s="3">
        <f>1.38*F785</f>
        <v>0</v>
      </c>
      <c r="H785" s="3">
        <f>0.0132525*F785</f>
        <v>0</v>
      </c>
      <c r="I785" s="3"/>
      <c r="J785" s="3" t="s">
        <v>299</v>
      </c>
    </row>
    <row r="786" spans="1:10" ht="18.75" hidden="1">
      <c r="A786" s="6"/>
      <c r="B786" s="19" t="s">
        <v>9</v>
      </c>
      <c r="C786" s="20"/>
      <c r="D786" s="20"/>
      <c r="E786" s="20"/>
      <c r="F786" s="20"/>
      <c r="G786" s="20"/>
      <c r="H786" s="20"/>
      <c r="I786" s="20"/>
      <c r="J786" s="21"/>
    </row>
    <row r="787" spans="1:10" ht="46.9" hidden="1" customHeight="1">
      <c r="A787" s="7" t="s">
        <v>360</v>
      </c>
      <c r="B787" s="4">
        <v>1100814</v>
      </c>
      <c r="C787" s="3"/>
      <c r="D787" s="9" t="s">
        <v>10</v>
      </c>
      <c r="E787" s="4">
        <v>4</v>
      </c>
      <c r="F787" s="10"/>
      <c r="G787" s="3">
        <f>1.62*F787</f>
        <v>0</v>
      </c>
      <c r="H787" s="3">
        <f>0.01226925*F787</f>
        <v>0</v>
      </c>
      <c r="I787" s="3"/>
      <c r="J787" s="3" t="s">
        <v>299</v>
      </c>
    </row>
    <row r="788" spans="1:10" ht="46.9" hidden="1" customHeight="1">
      <c r="A788" s="7" t="s">
        <v>360</v>
      </c>
      <c r="B788" s="4">
        <v>1104175</v>
      </c>
      <c r="C788" s="3"/>
      <c r="D788" s="9" t="s">
        <v>11</v>
      </c>
      <c r="E788" s="4">
        <v>8</v>
      </c>
      <c r="F788" s="10"/>
      <c r="G788" s="3">
        <f>0*F788</f>
        <v>0</v>
      </c>
      <c r="H788" s="3">
        <f>0*F788</f>
        <v>0</v>
      </c>
      <c r="I788" s="3"/>
      <c r="J788" s="3" t="s">
        <v>299</v>
      </c>
    </row>
    <row r="789" spans="1:10" ht="46.9" hidden="1" customHeight="1">
      <c r="A789" s="7" t="s">
        <v>360</v>
      </c>
      <c r="B789" s="4">
        <v>3900047</v>
      </c>
      <c r="C789" s="3"/>
      <c r="D789" s="9" t="s">
        <v>12</v>
      </c>
      <c r="E789" s="4">
        <v>4</v>
      </c>
      <c r="F789" s="10"/>
      <c r="G789" s="3">
        <f>1.29*F789</f>
        <v>0</v>
      </c>
      <c r="H789" s="3">
        <f>0.009984938*F789</f>
        <v>0</v>
      </c>
      <c r="I789" s="3"/>
      <c r="J789" s="3" t="s">
        <v>299</v>
      </c>
    </row>
    <row r="790" spans="1:10" ht="46.9" hidden="1" customHeight="1">
      <c r="A790" s="7" t="s">
        <v>355</v>
      </c>
      <c r="B790" s="4">
        <v>3900048</v>
      </c>
      <c r="C790" s="3"/>
      <c r="D790" s="9" t="s">
        <v>13</v>
      </c>
      <c r="E790" s="4">
        <v>4</v>
      </c>
      <c r="F790" s="10"/>
      <c r="G790" s="3">
        <f>1.29*F790</f>
        <v>0</v>
      </c>
      <c r="H790" s="3">
        <f>0.009984938*F790</f>
        <v>0</v>
      </c>
      <c r="I790" s="3"/>
      <c r="J790" s="3" t="s">
        <v>299</v>
      </c>
    </row>
    <row r="791" spans="1:10" ht="46.9" hidden="1" customHeight="1">
      <c r="A791" s="7" t="s">
        <v>360</v>
      </c>
      <c r="B791" s="4">
        <v>1106717</v>
      </c>
      <c r="C791" s="3"/>
      <c r="D791" s="9" t="s">
        <v>14</v>
      </c>
      <c r="E791" s="4">
        <v>24</v>
      </c>
      <c r="F791" s="10"/>
      <c r="G791" s="3">
        <f>0.46*F791</f>
        <v>0</v>
      </c>
      <c r="H791" s="3">
        <f>0.002639*F791</f>
        <v>0</v>
      </c>
      <c r="I791" s="3"/>
      <c r="J791" s="3" t="s">
        <v>299</v>
      </c>
    </row>
    <row r="792" spans="1:10" ht="46.9" hidden="1" customHeight="1">
      <c r="A792" s="7" t="s">
        <v>360</v>
      </c>
      <c r="B792" s="4">
        <v>1107034</v>
      </c>
      <c r="C792" s="3"/>
      <c r="D792" s="9" t="s">
        <v>15</v>
      </c>
      <c r="E792" s="4">
        <v>8</v>
      </c>
      <c r="F792" s="10"/>
      <c r="G792" s="3">
        <f>0.88*F792</f>
        <v>0</v>
      </c>
      <c r="H792" s="3">
        <f>0.00672*F792</f>
        <v>0</v>
      </c>
      <c r="I792" s="3"/>
      <c r="J792" s="3" t="s">
        <v>299</v>
      </c>
    </row>
    <row r="793" spans="1:10" ht="46.9" hidden="1" customHeight="1">
      <c r="A793" s="7" t="s">
        <v>355</v>
      </c>
      <c r="B793" s="4">
        <v>1107060</v>
      </c>
      <c r="C793" s="3"/>
      <c r="D793" s="9" t="s">
        <v>16</v>
      </c>
      <c r="E793" s="4">
        <v>18</v>
      </c>
      <c r="F793" s="10"/>
      <c r="G793" s="3">
        <f>0.62*F793</f>
        <v>0</v>
      </c>
      <c r="H793" s="3">
        <f>0.005744444*F793</f>
        <v>0</v>
      </c>
      <c r="I793" s="3"/>
      <c r="J793" s="3" t="s">
        <v>299</v>
      </c>
    </row>
    <row r="794" spans="1:10" ht="46.9" hidden="1" customHeight="1">
      <c r="A794" s="7" t="s">
        <v>355</v>
      </c>
      <c r="B794" s="4">
        <v>1107118</v>
      </c>
      <c r="C794" s="3"/>
      <c r="D794" s="9" t="s">
        <v>17</v>
      </c>
      <c r="E794" s="4">
        <v>6</v>
      </c>
      <c r="F794" s="10"/>
      <c r="G794" s="3">
        <f>2.42*F794</f>
        <v>0</v>
      </c>
      <c r="H794" s="3">
        <f>0.0061605*F794</f>
        <v>0</v>
      </c>
      <c r="I794" s="3"/>
      <c r="J794" s="3" t="s">
        <v>299</v>
      </c>
    </row>
    <row r="795" spans="1:10" ht="46.9" hidden="1" customHeight="1">
      <c r="A795" s="7" t="s">
        <v>355</v>
      </c>
      <c r="B795" s="4">
        <v>1107122</v>
      </c>
      <c r="C795" s="3"/>
      <c r="D795" s="9" t="s">
        <v>18</v>
      </c>
      <c r="E795" s="4">
        <v>6</v>
      </c>
      <c r="F795" s="10"/>
      <c r="G795" s="3">
        <f>2.25*F795</f>
        <v>0</v>
      </c>
      <c r="H795" s="3">
        <f>0.0053675*F795</f>
        <v>0</v>
      </c>
      <c r="I795" s="3"/>
      <c r="J795" s="3" t="s">
        <v>299</v>
      </c>
    </row>
    <row r="796" spans="1:10" ht="46.9" hidden="1" customHeight="1">
      <c r="A796" s="7" t="s">
        <v>355</v>
      </c>
      <c r="B796" s="4">
        <v>1107200</v>
      </c>
      <c r="C796" s="3"/>
      <c r="D796" s="9" t="s">
        <v>19</v>
      </c>
      <c r="E796" s="4">
        <v>6</v>
      </c>
      <c r="F796" s="10"/>
      <c r="G796" s="3">
        <f>2*F796</f>
        <v>0</v>
      </c>
      <c r="H796" s="3">
        <f>0.004853333*F796</f>
        <v>0</v>
      </c>
      <c r="I796" s="3"/>
      <c r="J796" s="3" t="s">
        <v>299</v>
      </c>
    </row>
    <row r="797" spans="1:10" ht="46.9" hidden="1" customHeight="1">
      <c r="A797" s="7" t="s">
        <v>355</v>
      </c>
      <c r="B797" s="4">
        <v>1107201</v>
      </c>
      <c r="C797" s="3"/>
      <c r="D797" s="9" t="s">
        <v>20</v>
      </c>
      <c r="E797" s="4">
        <v>6</v>
      </c>
      <c r="F797" s="10"/>
      <c r="G797" s="3">
        <f>1.92*F797</f>
        <v>0</v>
      </c>
      <c r="H797" s="3">
        <f>0.00455*F797</f>
        <v>0</v>
      </c>
      <c r="I797" s="3"/>
      <c r="J797" s="3" t="s">
        <v>299</v>
      </c>
    </row>
    <row r="798" spans="1:10" ht="46.9" hidden="1" customHeight="1">
      <c r="A798" s="7" t="s">
        <v>360</v>
      </c>
      <c r="B798" s="4">
        <v>1107203</v>
      </c>
      <c r="C798" s="3"/>
      <c r="D798" s="9" t="s">
        <v>21</v>
      </c>
      <c r="E798" s="4">
        <v>8</v>
      </c>
      <c r="F798" s="10"/>
      <c r="G798" s="3">
        <f>1.5*F798</f>
        <v>0</v>
      </c>
      <c r="H798" s="3">
        <f>0.003947625*F798</f>
        <v>0</v>
      </c>
      <c r="I798" s="3"/>
      <c r="J798" s="3" t="s">
        <v>299</v>
      </c>
    </row>
    <row r="799" spans="1:10" ht="46.9" hidden="1" customHeight="1">
      <c r="A799" s="7" t="s">
        <v>360</v>
      </c>
      <c r="B799" s="4">
        <v>1107210</v>
      </c>
      <c r="C799" s="3"/>
      <c r="D799" s="9" t="s">
        <v>22</v>
      </c>
      <c r="E799" s="4">
        <v>6</v>
      </c>
      <c r="F799" s="10"/>
      <c r="G799" s="3">
        <f>1.67*F799</f>
        <v>0</v>
      </c>
      <c r="H799" s="3">
        <f>0.00455*F799</f>
        <v>0</v>
      </c>
      <c r="I799" s="3"/>
      <c r="J799" s="3" t="s">
        <v>299</v>
      </c>
    </row>
    <row r="800" spans="1:10" ht="46.9" hidden="1" customHeight="1">
      <c r="A800" s="7" t="s">
        <v>355</v>
      </c>
      <c r="B800" s="4">
        <v>1107211</v>
      </c>
      <c r="C800" s="3"/>
      <c r="D800" s="9" t="s">
        <v>23</v>
      </c>
      <c r="E800" s="4">
        <v>6</v>
      </c>
      <c r="F800" s="10"/>
      <c r="G800" s="3">
        <f>1.92*F800</f>
        <v>0</v>
      </c>
      <c r="H800" s="3">
        <f>0.005674667*F800</f>
        <v>0</v>
      </c>
      <c r="I800" s="3"/>
      <c r="J800" s="3" t="s">
        <v>299</v>
      </c>
    </row>
    <row r="801" spans="1:10" ht="46.9" hidden="1" customHeight="1">
      <c r="A801" s="7" t="s">
        <v>355</v>
      </c>
      <c r="B801" s="4">
        <v>1107212</v>
      </c>
      <c r="C801" s="3"/>
      <c r="D801" s="9" t="s">
        <v>24</v>
      </c>
      <c r="E801" s="4">
        <v>8</v>
      </c>
      <c r="F801" s="10"/>
      <c r="G801" s="3">
        <f>1.81*F801</f>
        <v>0</v>
      </c>
      <c r="H801" s="3">
        <f>0.004832875*F801</f>
        <v>0</v>
      </c>
      <c r="I801" s="3"/>
      <c r="J801" s="3" t="s">
        <v>299</v>
      </c>
    </row>
    <row r="802" spans="1:10" ht="46.9" hidden="1" customHeight="1">
      <c r="A802" s="7" t="s">
        <v>355</v>
      </c>
      <c r="B802" s="4">
        <v>1107214</v>
      </c>
      <c r="C802" s="3"/>
      <c r="D802" s="9" t="s">
        <v>25</v>
      </c>
      <c r="E802" s="4">
        <v>6</v>
      </c>
      <c r="F802" s="10"/>
      <c r="G802" s="3">
        <f>1.83*F802</f>
        <v>0</v>
      </c>
      <c r="H802" s="3">
        <f>0.00455*F802</f>
        <v>0</v>
      </c>
      <c r="I802" s="3"/>
      <c r="J802" s="3" t="s">
        <v>299</v>
      </c>
    </row>
    <row r="803" spans="1:10" ht="46.9" hidden="1" customHeight="1">
      <c r="A803" s="7" t="s">
        <v>355</v>
      </c>
      <c r="B803" s="4">
        <v>1107215</v>
      </c>
      <c r="C803" s="3"/>
      <c r="D803" s="9" t="s">
        <v>26</v>
      </c>
      <c r="E803" s="4">
        <v>6</v>
      </c>
      <c r="F803" s="10"/>
      <c r="G803" s="3">
        <f>2.5*F803</f>
        <v>0</v>
      </c>
      <c r="H803" s="3">
        <f>0.004832875*F803</f>
        <v>0</v>
      </c>
      <c r="I803" s="3"/>
      <c r="J803" s="3" t="s">
        <v>299</v>
      </c>
    </row>
    <row r="804" spans="1:10" ht="46.9" hidden="1" customHeight="1">
      <c r="A804" s="7" t="s">
        <v>355</v>
      </c>
      <c r="B804" s="4">
        <v>1107216</v>
      </c>
      <c r="C804" s="3"/>
      <c r="D804" s="9" t="s">
        <v>27</v>
      </c>
      <c r="E804" s="4">
        <v>4</v>
      </c>
      <c r="F804" s="10"/>
      <c r="G804" s="3">
        <f>4.88*F804</f>
        <v>0</v>
      </c>
      <c r="H804" s="3">
        <f>0.017544*F804</f>
        <v>0</v>
      </c>
      <c r="I804" s="3"/>
      <c r="J804" s="3" t="s">
        <v>299</v>
      </c>
    </row>
    <row r="805" spans="1:10" ht="46.9" hidden="1" customHeight="1">
      <c r="A805" s="7" t="s">
        <v>355</v>
      </c>
      <c r="B805" s="4">
        <v>1107217</v>
      </c>
      <c r="C805" s="3"/>
      <c r="D805" s="9" t="s">
        <v>28</v>
      </c>
      <c r="E805" s="4">
        <v>6</v>
      </c>
      <c r="F805" s="10"/>
      <c r="G805" s="3">
        <f>2.42*F805</f>
        <v>0</v>
      </c>
      <c r="H805" s="3">
        <f>0.007938*F805</f>
        <v>0</v>
      </c>
      <c r="I805" s="3"/>
      <c r="J805" s="3" t="s">
        <v>299</v>
      </c>
    </row>
    <row r="806" spans="1:10" ht="46.9" hidden="1" customHeight="1">
      <c r="A806" s="7" t="s">
        <v>355</v>
      </c>
      <c r="B806" s="4">
        <v>1107218</v>
      </c>
      <c r="C806" s="3"/>
      <c r="D806" s="9" t="s">
        <v>29</v>
      </c>
      <c r="E806" s="4">
        <v>6</v>
      </c>
      <c r="F806" s="10"/>
      <c r="G806" s="3">
        <f>2.17*F806</f>
        <v>0</v>
      </c>
      <c r="H806" s="3">
        <f>0.007941167*F806</f>
        <v>0</v>
      </c>
      <c r="I806" s="3"/>
      <c r="J806" s="3" t="s">
        <v>299</v>
      </c>
    </row>
    <row r="807" spans="1:10" ht="46.9" hidden="1" customHeight="1">
      <c r="A807" s="7" t="s">
        <v>355</v>
      </c>
      <c r="B807" s="4">
        <v>1107220</v>
      </c>
      <c r="C807" s="3"/>
      <c r="D807" s="9" t="s">
        <v>30</v>
      </c>
      <c r="E807" s="4">
        <v>24</v>
      </c>
      <c r="F807" s="10"/>
      <c r="G807" s="3">
        <f>0.6*F807</f>
        <v>0</v>
      </c>
      <c r="H807" s="3">
        <f>0.0006885*F807</f>
        <v>0</v>
      </c>
      <c r="I807" s="3"/>
      <c r="J807" s="3" t="s">
        <v>299</v>
      </c>
    </row>
    <row r="808" spans="1:10" ht="46.9" hidden="1" customHeight="1">
      <c r="A808" s="7" t="s">
        <v>355</v>
      </c>
      <c r="B808" s="4">
        <v>1107223</v>
      </c>
      <c r="C808" s="3"/>
      <c r="D808" s="9" t="s">
        <v>31</v>
      </c>
      <c r="E808" s="4">
        <v>24</v>
      </c>
      <c r="F808" s="10"/>
      <c r="G808" s="3">
        <f>0.6*F808</f>
        <v>0</v>
      </c>
      <c r="H808" s="3">
        <f>0.0006885*F808</f>
        <v>0</v>
      </c>
      <c r="I808" s="3"/>
      <c r="J808" s="3" t="s">
        <v>299</v>
      </c>
    </row>
    <row r="809" spans="1:10" ht="46.9" hidden="1" customHeight="1">
      <c r="A809" s="7" t="s">
        <v>355</v>
      </c>
      <c r="B809" s="4">
        <v>1107224</v>
      </c>
      <c r="C809" s="3"/>
      <c r="D809" s="9" t="s">
        <v>32</v>
      </c>
      <c r="E809" s="4">
        <v>24</v>
      </c>
      <c r="F809" s="10"/>
      <c r="G809" s="3">
        <f>0.6*F809</f>
        <v>0</v>
      </c>
      <c r="H809" s="3">
        <f>0.0006885*F809</f>
        <v>0</v>
      </c>
      <c r="I809" s="3"/>
      <c r="J809" s="3" t="s">
        <v>299</v>
      </c>
    </row>
    <row r="810" spans="1:10" ht="46.9" hidden="1" customHeight="1">
      <c r="A810" s="7" t="s">
        <v>355</v>
      </c>
      <c r="B810" s="4">
        <v>1107128</v>
      </c>
      <c r="C810" s="3"/>
      <c r="D810" s="9" t="s">
        <v>33</v>
      </c>
      <c r="E810" s="4">
        <v>24</v>
      </c>
      <c r="F810" s="10"/>
      <c r="G810" s="3">
        <f>0.39*F810</f>
        <v>0</v>
      </c>
      <c r="H810" s="3">
        <f>0.001558*F810</f>
        <v>0</v>
      </c>
      <c r="I810" s="3"/>
      <c r="J810" s="3" t="s">
        <v>299</v>
      </c>
    </row>
    <row r="811" spans="1:10" ht="46.9" hidden="1" customHeight="1">
      <c r="A811" s="7" t="s">
        <v>355</v>
      </c>
      <c r="B811" s="4">
        <v>1107129</v>
      </c>
      <c r="C811" s="3"/>
      <c r="D811" s="9" t="s">
        <v>34</v>
      </c>
      <c r="E811" s="4">
        <v>24</v>
      </c>
      <c r="F811" s="10"/>
      <c r="G811" s="3">
        <f>0.58*F811</f>
        <v>0</v>
      </c>
      <c r="H811" s="3">
        <f>0.00241875*F811</f>
        <v>0</v>
      </c>
      <c r="I811" s="3"/>
      <c r="J811" s="3" t="s">
        <v>299</v>
      </c>
    </row>
    <row r="812" spans="1:10" ht="46.9" hidden="1" customHeight="1">
      <c r="A812" s="7" t="s">
        <v>355</v>
      </c>
      <c r="B812" s="4">
        <v>1107130</v>
      </c>
      <c r="C812" s="3"/>
      <c r="D812" s="9" t="s">
        <v>35</v>
      </c>
      <c r="E812" s="4">
        <v>12</v>
      </c>
      <c r="F812" s="10"/>
      <c r="G812" s="3">
        <f>0.74*F812</f>
        <v>0</v>
      </c>
      <c r="H812" s="3">
        <f>0.003289*F812</f>
        <v>0</v>
      </c>
      <c r="I812" s="3"/>
      <c r="J812" s="3" t="s">
        <v>299</v>
      </c>
    </row>
    <row r="813" spans="1:10" ht="46.9" hidden="1" customHeight="1">
      <c r="A813" s="7" t="s">
        <v>360</v>
      </c>
      <c r="B813" s="4">
        <v>1107131</v>
      </c>
      <c r="C813" s="3"/>
      <c r="D813" s="9" t="s">
        <v>36</v>
      </c>
      <c r="E813" s="4">
        <v>12</v>
      </c>
      <c r="F813" s="10"/>
      <c r="G813" s="3">
        <f>0.81*F813</f>
        <v>0</v>
      </c>
      <c r="H813" s="3">
        <f>0.003588*F813</f>
        <v>0</v>
      </c>
      <c r="I813" s="3"/>
      <c r="J813" s="3" t="s">
        <v>299</v>
      </c>
    </row>
    <row r="814" spans="1:10" ht="46.9" hidden="1" customHeight="1">
      <c r="A814" s="7" t="s">
        <v>360</v>
      </c>
      <c r="B814" s="4">
        <v>1106800</v>
      </c>
      <c r="C814" s="3"/>
      <c r="D814" s="9" t="s">
        <v>37</v>
      </c>
      <c r="E814" s="4">
        <v>24</v>
      </c>
      <c r="F814" s="10"/>
      <c r="G814" s="3">
        <f>0.4*F814</f>
        <v>0</v>
      </c>
      <c r="H814" s="3">
        <f>0.002661188*F814</f>
        <v>0</v>
      </c>
      <c r="I814" s="3"/>
      <c r="J814" s="3" t="s">
        <v>299</v>
      </c>
    </row>
    <row r="815" spans="1:10" ht="46.9" hidden="1" customHeight="1">
      <c r="A815" s="7" t="s">
        <v>360</v>
      </c>
      <c r="B815" s="4">
        <v>1106801</v>
      </c>
      <c r="C815" s="3"/>
      <c r="D815" s="9" t="s">
        <v>38</v>
      </c>
      <c r="E815" s="4">
        <v>24</v>
      </c>
      <c r="F815" s="10"/>
      <c r="G815" s="3">
        <f>0.53*F815</f>
        <v>0</v>
      </c>
      <c r="H815" s="3">
        <f>0.004178417*F815</f>
        <v>0</v>
      </c>
      <c r="I815" s="3"/>
      <c r="J815" s="3" t="s">
        <v>299</v>
      </c>
    </row>
    <row r="816" spans="1:10" ht="46.9" hidden="1" customHeight="1">
      <c r="A816" s="7" t="s">
        <v>360</v>
      </c>
      <c r="B816" s="4">
        <v>1106802</v>
      </c>
      <c r="C816" s="3"/>
      <c r="D816" s="9" t="s">
        <v>39</v>
      </c>
      <c r="E816" s="4">
        <v>12</v>
      </c>
      <c r="F816" s="10"/>
      <c r="G816" s="3">
        <f>0.68*F816</f>
        <v>0</v>
      </c>
      <c r="H816" s="3">
        <f>0.005569667*F816</f>
        <v>0</v>
      </c>
      <c r="I816" s="3"/>
      <c r="J816" s="3" t="s">
        <v>299</v>
      </c>
    </row>
    <row r="817" spans="1:10" ht="46.9" hidden="1" customHeight="1">
      <c r="A817" s="7" t="s">
        <v>360</v>
      </c>
      <c r="B817" s="4">
        <v>1106804</v>
      </c>
      <c r="C817" s="3"/>
      <c r="D817" s="9" t="s">
        <v>37</v>
      </c>
      <c r="E817" s="4">
        <v>24</v>
      </c>
      <c r="F817" s="10"/>
      <c r="G817" s="3">
        <f>0.4*F817</f>
        <v>0</v>
      </c>
      <c r="H817" s="3">
        <f>0.002590292*F817</f>
        <v>0</v>
      </c>
      <c r="I817" s="3"/>
      <c r="J817" s="3" t="s">
        <v>299</v>
      </c>
    </row>
    <row r="818" spans="1:10" ht="46.9" hidden="1" customHeight="1">
      <c r="A818" s="7" t="s">
        <v>360</v>
      </c>
      <c r="B818" s="4">
        <v>1106805</v>
      </c>
      <c r="C818" s="3"/>
      <c r="D818" s="9" t="s">
        <v>38</v>
      </c>
      <c r="E818" s="4">
        <v>24</v>
      </c>
      <c r="F818" s="10"/>
      <c r="G818" s="3">
        <f>0.57*F818</f>
        <v>0</v>
      </c>
      <c r="H818" s="3">
        <f>0.001801042*F818</f>
        <v>0</v>
      </c>
      <c r="I818" s="3"/>
      <c r="J818" s="3" t="s">
        <v>299</v>
      </c>
    </row>
    <row r="819" spans="1:10" ht="46.9" hidden="1" customHeight="1">
      <c r="A819" s="7" t="s">
        <v>355</v>
      </c>
      <c r="B819" s="4">
        <v>1106810</v>
      </c>
      <c r="C819" s="3"/>
      <c r="D819" s="9" t="s">
        <v>37</v>
      </c>
      <c r="E819" s="4">
        <v>30</v>
      </c>
      <c r="F819" s="10"/>
      <c r="G819" s="3">
        <f>0.37*F819</f>
        <v>0</v>
      </c>
      <c r="H819" s="3">
        <f>0.002197188*F819</f>
        <v>0</v>
      </c>
      <c r="I819" s="3"/>
      <c r="J819" s="3" t="s">
        <v>299</v>
      </c>
    </row>
    <row r="820" spans="1:10" ht="46.9" hidden="1" customHeight="1">
      <c r="A820" s="7" t="s">
        <v>360</v>
      </c>
      <c r="B820" s="4">
        <v>1106811</v>
      </c>
      <c r="C820" s="3"/>
      <c r="D820" s="9" t="s">
        <v>38</v>
      </c>
      <c r="E820" s="4">
        <v>30</v>
      </c>
      <c r="F820" s="10"/>
      <c r="G820" s="3">
        <f>0.57*F820</f>
        <v>0</v>
      </c>
      <c r="H820" s="3">
        <f>0.003311438*F820</f>
        <v>0</v>
      </c>
      <c r="I820" s="3"/>
      <c r="J820" s="3" t="s">
        <v>299</v>
      </c>
    </row>
    <row r="821" spans="1:10" ht="46.9" hidden="1" customHeight="1">
      <c r="A821" s="7" t="s">
        <v>360</v>
      </c>
      <c r="B821" s="4">
        <v>1100084</v>
      </c>
      <c r="C821" s="3"/>
      <c r="D821" s="9" t="s">
        <v>40</v>
      </c>
      <c r="E821" s="4">
        <v>24</v>
      </c>
      <c r="F821" s="10"/>
      <c r="G821" s="3">
        <f>0.67*F821</f>
        <v>0</v>
      </c>
      <c r="H821" s="3">
        <f>0.003591*F821</f>
        <v>0</v>
      </c>
      <c r="I821" s="3"/>
      <c r="J821" s="3" t="s">
        <v>299</v>
      </c>
    </row>
    <row r="822" spans="1:10" ht="46.9" customHeight="1">
      <c r="A822" s="7" t="s">
        <v>355</v>
      </c>
      <c r="B822" s="4">
        <v>1100146</v>
      </c>
      <c r="C822" s="3"/>
      <c r="D822" s="9" t="s">
        <v>41</v>
      </c>
      <c r="E822" s="4">
        <v>24</v>
      </c>
      <c r="F822" s="10">
        <v>1</v>
      </c>
      <c r="G822" s="3">
        <f>0.52*F822</f>
        <v>0.52</v>
      </c>
      <c r="H822" s="3">
        <f>0.00200925*F822</f>
        <v>2.0092500000000002E-3</v>
      </c>
      <c r="I822" s="3"/>
      <c r="J822" s="3" t="s">
        <v>299</v>
      </c>
    </row>
    <row r="823" spans="1:10" ht="46.9" customHeight="1">
      <c r="A823" s="7" t="s">
        <v>355</v>
      </c>
      <c r="B823" s="4">
        <v>1100147</v>
      </c>
      <c r="C823" s="3"/>
      <c r="D823" s="9" t="s">
        <v>42</v>
      </c>
      <c r="E823" s="4">
        <v>24</v>
      </c>
      <c r="F823" s="10">
        <v>1</v>
      </c>
      <c r="G823" s="3">
        <f>0.58*F823</f>
        <v>0.57999999999999996</v>
      </c>
      <c r="H823" s="3">
        <f>0.00298375*F823</f>
        <v>2.9837499999999999E-3</v>
      </c>
      <c r="I823" s="3"/>
      <c r="J823" s="3" t="s">
        <v>299</v>
      </c>
    </row>
    <row r="824" spans="1:10" ht="46.9" hidden="1" customHeight="1">
      <c r="A824" s="7" t="s">
        <v>355</v>
      </c>
      <c r="B824" s="4">
        <v>3501695</v>
      </c>
      <c r="C824" s="3"/>
      <c r="D824" s="9" t="s">
        <v>43</v>
      </c>
      <c r="E824" s="4">
        <v>6</v>
      </c>
      <c r="F824" s="10"/>
      <c r="G824" s="3">
        <f>0.74*F824</f>
        <v>0</v>
      </c>
      <c r="H824" s="3">
        <f>0.003877063*F824</f>
        <v>0</v>
      </c>
      <c r="I824" s="3"/>
      <c r="J824" s="3" t="s">
        <v>299</v>
      </c>
    </row>
    <row r="825" spans="1:10" ht="46.9" hidden="1" customHeight="1">
      <c r="A825" s="7" t="s">
        <v>360</v>
      </c>
      <c r="B825" s="4">
        <v>3501701</v>
      </c>
      <c r="C825" s="3"/>
      <c r="D825" s="9" t="s">
        <v>44</v>
      </c>
      <c r="E825" s="4">
        <v>6</v>
      </c>
      <c r="F825" s="10"/>
      <c r="G825" s="3">
        <f>0.82*F825</f>
        <v>0</v>
      </c>
      <c r="H825" s="3">
        <f>0.004494375*F825</f>
        <v>0</v>
      </c>
      <c r="I825" s="3"/>
      <c r="J825" s="3" t="s">
        <v>299</v>
      </c>
    </row>
    <row r="826" spans="1:10" ht="46.9" hidden="1" customHeight="1">
      <c r="A826" s="7" t="s">
        <v>360</v>
      </c>
      <c r="B826" s="4">
        <v>2800119</v>
      </c>
      <c r="C826" s="3"/>
      <c r="D826" s="9" t="s">
        <v>45</v>
      </c>
      <c r="E826" s="4">
        <v>30</v>
      </c>
      <c r="F826" s="10"/>
      <c r="G826" s="3">
        <f>0.45*F826</f>
        <v>0</v>
      </c>
      <c r="H826" s="3">
        <f>0.002585417*F826</f>
        <v>0</v>
      </c>
      <c r="I826" s="3"/>
      <c r="J826" s="3" t="s">
        <v>299</v>
      </c>
    </row>
    <row r="827" spans="1:10" ht="46.9" hidden="1" customHeight="1">
      <c r="A827" s="7" t="s">
        <v>360</v>
      </c>
      <c r="B827" s="4">
        <v>1110042</v>
      </c>
      <c r="C827" s="3"/>
      <c r="D827" s="9" t="s">
        <v>46</v>
      </c>
      <c r="E827" s="4">
        <v>18</v>
      </c>
      <c r="F827" s="10"/>
      <c r="G827" s="3">
        <f>0.41*F827</f>
        <v>0</v>
      </c>
      <c r="H827" s="3">
        <f>0.004309764*F827</f>
        <v>0</v>
      </c>
      <c r="I827" s="3"/>
      <c r="J827" s="3" t="s">
        <v>299</v>
      </c>
    </row>
    <row r="828" spans="1:10" ht="46.9" hidden="1" customHeight="1">
      <c r="A828" s="7" t="s">
        <v>355</v>
      </c>
      <c r="B828" s="4">
        <v>2800591</v>
      </c>
      <c r="C828" s="3"/>
      <c r="D828" s="9" t="s">
        <v>47</v>
      </c>
      <c r="E828" s="4">
        <v>36</v>
      </c>
      <c r="F828" s="10"/>
      <c r="G828" s="3">
        <f>0.2*F828</f>
        <v>0</v>
      </c>
      <c r="H828" s="3">
        <f>0.001851111*F828</f>
        <v>0</v>
      </c>
      <c r="I828" s="3"/>
      <c r="J828" s="3" t="s">
        <v>299</v>
      </c>
    </row>
    <row r="829" spans="1:10" ht="46.9" hidden="1" customHeight="1">
      <c r="A829" s="7" t="s">
        <v>360</v>
      </c>
      <c r="B829" s="4">
        <v>1106916</v>
      </c>
      <c r="C829" s="3"/>
      <c r="D829" s="9" t="s">
        <v>48</v>
      </c>
      <c r="E829" s="4">
        <v>12</v>
      </c>
      <c r="F829" s="10"/>
      <c r="G829" s="3">
        <f>0.79*F829</f>
        <v>0</v>
      </c>
      <c r="H829" s="3">
        <f>0.00259325*F829</f>
        <v>0</v>
      </c>
      <c r="I829" s="3"/>
      <c r="J829" s="3" t="s">
        <v>299</v>
      </c>
    </row>
    <row r="830" spans="1:10" ht="46.9" customHeight="1">
      <c r="A830" s="7" t="s">
        <v>355</v>
      </c>
      <c r="B830" s="4">
        <v>1107110</v>
      </c>
      <c r="C830" s="3"/>
      <c r="D830" s="9" t="s">
        <v>49</v>
      </c>
      <c r="E830" s="4">
        <v>20</v>
      </c>
      <c r="F830" s="10">
        <v>1</v>
      </c>
      <c r="G830" s="3">
        <f>0.42*F830</f>
        <v>0.42</v>
      </c>
      <c r="H830" s="3">
        <f>0.0022484*F830</f>
        <v>2.2483999999999998E-3</v>
      </c>
      <c r="I830" s="3"/>
      <c r="J830" s="3" t="s">
        <v>299</v>
      </c>
    </row>
    <row r="831" spans="1:10" ht="46.9" hidden="1" customHeight="1">
      <c r="A831" s="7" t="s">
        <v>360</v>
      </c>
      <c r="B831" s="4">
        <v>1100060</v>
      </c>
      <c r="C831" s="3"/>
      <c r="D831" s="9" t="s">
        <v>50</v>
      </c>
      <c r="E831" s="4">
        <v>12</v>
      </c>
      <c r="F831" s="10"/>
      <c r="G831" s="3">
        <f>0.79*F831</f>
        <v>0</v>
      </c>
      <c r="H831" s="3">
        <f>0.004249583*F831</f>
        <v>0</v>
      </c>
      <c r="I831" s="3"/>
      <c r="J831" s="3" t="s">
        <v>299</v>
      </c>
    </row>
    <row r="832" spans="1:10" ht="46.9" hidden="1" customHeight="1">
      <c r="A832" s="7" t="s">
        <v>355</v>
      </c>
      <c r="B832" s="4">
        <v>1100061</v>
      </c>
      <c r="C832" s="3"/>
      <c r="D832" s="9" t="s">
        <v>51</v>
      </c>
      <c r="E832" s="4">
        <v>4</v>
      </c>
      <c r="F832" s="10"/>
      <c r="G832" s="3">
        <f>0*F832</f>
        <v>0</v>
      </c>
      <c r="H832" s="3">
        <f>0*F832</f>
        <v>0</v>
      </c>
      <c r="I832" s="3"/>
      <c r="J832" s="3" t="s">
        <v>299</v>
      </c>
    </row>
    <row r="833" spans="1:10" ht="46.9" customHeight="1">
      <c r="A833" s="7" t="s">
        <v>360</v>
      </c>
      <c r="B833" s="4">
        <v>1107141</v>
      </c>
      <c r="C833" s="3"/>
      <c r="D833" s="9" t="s">
        <v>52</v>
      </c>
      <c r="E833" s="4">
        <v>24</v>
      </c>
      <c r="F833" s="10">
        <v>1</v>
      </c>
      <c r="G833" s="3">
        <f>0.42*F833</f>
        <v>0.42</v>
      </c>
      <c r="H833" s="3">
        <f>0.001720688*F833</f>
        <v>1.7206879999999999E-3</v>
      </c>
      <c r="I833" s="3"/>
      <c r="J833" s="3" t="s">
        <v>299</v>
      </c>
    </row>
    <row r="834" spans="1:10" ht="46.9" hidden="1" customHeight="1">
      <c r="A834" s="7" t="s">
        <v>360</v>
      </c>
      <c r="B834" s="4">
        <v>1107165</v>
      </c>
      <c r="C834" s="3"/>
      <c r="D834" s="9" t="s">
        <v>53</v>
      </c>
      <c r="E834" s="4">
        <v>16</v>
      </c>
      <c r="F834" s="10"/>
      <c r="G834" s="3">
        <f>0.69*F834</f>
        <v>0</v>
      </c>
      <c r="H834" s="3">
        <f>0.0030375*F834</f>
        <v>0</v>
      </c>
      <c r="I834" s="3"/>
      <c r="J834" s="3" t="s">
        <v>299</v>
      </c>
    </row>
    <row r="835" spans="1:10" ht="46.9" hidden="1" customHeight="1">
      <c r="A835" s="7" t="s">
        <v>355</v>
      </c>
      <c r="B835" s="4">
        <v>1106995</v>
      </c>
      <c r="C835" s="3"/>
      <c r="D835" s="9" t="s">
        <v>54</v>
      </c>
      <c r="E835" s="4">
        <v>20</v>
      </c>
      <c r="F835" s="10"/>
      <c r="G835" s="3">
        <f>0.45*F835</f>
        <v>0</v>
      </c>
      <c r="H835" s="3">
        <f>0.002063325*F835</f>
        <v>0</v>
      </c>
      <c r="I835" s="3"/>
      <c r="J835" s="3" t="s">
        <v>299</v>
      </c>
    </row>
    <row r="836" spans="1:10" ht="46.9" hidden="1" customHeight="1">
      <c r="A836" s="7" t="s">
        <v>360</v>
      </c>
      <c r="B836" s="4">
        <v>1106996</v>
      </c>
      <c r="C836" s="3"/>
      <c r="D836" s="9" t="s">
        <v>55</v>
      </c>
      <c r="E836" s="4">
        <v>20</v>
      </c>
      <c r="F836" s="10"/>
      <c r="G836" s="3">
        <f>0.65*F836</f>
        <v>0</v>
      </c>
      <c r="H836" s="3">
        <f>0.0035112*F836</f>
        <v>0</v>
      </c>
      <c r="I836" s="3"/>
      <c r="J836" s="3" t="s">
        <v>299</v>
      </c>
    </row>
    <row r="837" spans="1:10" ht="46.9" hidden="1" customHeight="1">
      <c r="A837" s="7" t="s">
        <v>360</v>
      </c>
      <c r="B837" s="4">
        <v>1107125</v>
      </c>
      <c r="C837" s="3"/>
      <c r="D837" s="9" t="s">
        <v>56</v>
      </c>
      <c r="E837" s="4">
        <v>24</v>
      </c>
      <c r="F837" s="10"/>
      <c r="G837" s="3">
        <f>0.38*F837</f>
        <v>0</v>
      </c>
      <c r="H837" s="3">
        <f>0.00160425*F837</f>
        <v>0</v>
      </c>
      <c r="I837" s="3"/>
      <c r="J837" s="3" t="s">
        <v>299</v>
      </c>
    </row>
    <row r="838" spans="1:10" ht="46.9" hidden="1" customHeight="1">
      <c r="A838" s="7" t="s">
        <v>360</v>
      </c>
      <c r="B838" s="4">
        <v>1107126</v>
      </c>
      <c r="C838" s="3"/>
      <c r="D838" s="9" t="s">
        <v>57</v>
      </c>
      <c r="E838" s="4">
        <v>12</v>
      </c>
      <c r="F838" s="10"/>
      <c r="G838" s="3">
        <f>0.79*F838</f>
        <v>0</v>
      </c>
      <c r="H838" s="3">
        <f>0.00328*F838</f>
        <v>0</v>
      </c>
      <c r="I838" s="3"/>
      <c r="J838" s="3" t="s">
        <v>299</v>
      </c>
    </row>
    <row r="839" spans="1:10" ht="46.9" hidden="1" customHeight="1">
      <c r="A839" s="7" t="s">
        <v>355</v>
      </c>
      <c r="B839" s="4">
        <v>1107133</v>
      </c>
      <c r="C839" s="3"/>
      <c r="D839" s="9" t="s">
        <v>58</v>
      </c>
      <c r="E839" s="4">
        <v>36</v>
      </c>
      <c r="F839" s="10"/>
      <c r="G839" s="3">
        <f>0*F839</f>
        <v>0</v>
      </c>
      <c r="H839" s="3">
        <f>0*F839</f>
        <v>0</v>
      </c>
      <c r="I839" s="3"/>
      <c r="J839" s="3" t="s">
        <v>299</v>
      </c>
    </row>
    <row r="840" spans="1:10" ht="46.9" hidden="1" customHeight="1">
      <c r="A840" s="7" t="s">
        <v>360</v>
      </c>
      <c r="B840" s="4">
        <v>2801512</v>
      </c>
      <c r="C840" s="3"/>
      <c r="D840" s="9" t="s">
        <v>59</v>
      </c>
      <c r="E840" s="4">
        <v>6</v>
      </c>
      <c r="F840" s="10"/>
      <c r="G840" s="3">
        <f>0.95*F840</f>
        <v>0</v>
      </c>
      <c r="H840" s="3">
        <f>0.008439563*F840</f>
        <v>0</v>
      </c>
      <c r="I840" s="3"/>
      <c r="J840" s="3" t="s">
        <v>299</v>
      </c>
    </row>
    <row r="841" spans="1:10" ht="46.9" hidden="1" customHeight="1">
      <c r="A841" s="7" t="s">
        <v>360</v>
      </c>
      <c r="B841" s="4">
        <v>1107172</v>
      </c>
      <c r="C841" s="3"/>
      <c r="D841" s="9" t="s">
        <v>60</v>
      </c>
      <c r="E841" s="4">
        <v>24</v>
      </c>
      <c r="F841" s="10"/>
      <c r="G841" s="3">
        <f>0.34*F841</f>
        <v>0</v>
      </c>
      <c r="H841" s="3">
        <f>0.00174825*F841</f>
        <v>0</v>
      </c>
      <c r="I841" s="3"/>
      <c r="J841" s="3" t="s">
        <v>299</v>
      </c>
    </row>
    <row r="842" spans="1:10" ht="46.9" hidden="1" customHeight="1">
      <c r="A842" s="7" t="s">
        <v>355</v>
      </c>
      <c r="B842" s="4">
        <v>1106831</v>
      </c>
      <c r="C842" s="3"/>
      <c r="D842" s="9" t="s">
        <v>61</v>
      </c>
      <c r="E842" s="4">
        <v>30</v>
      </c>
      <c r="F842" s="10"/>
      <c r="G842" s="3">
        <f>0.41*F842</f>
        <v>0</v>
      </c>
      <c r="H842" s="3">
        <f>0.002205*F842</f>
        <v>0</v>
      </c>
      <c r="I842" s="3"/>
      <c r="J842" s="3" t="s">
        <v>299</v>
      </c>
    </row>
    <row r="843" spans="1:10" ht="46.9" hidden="1" customHeight="1">
      <c r="A843" s="7" t="s">
        <v>355</v>
      </c>
      <c r="B843" s="4">
        <v>1106840</v>
      </c>
      <c r="C843" s="3"/>
      <c r="D843" s="9" t="s">
        <v>62</v>
      </c>
      <c r="E843" s="4">
        <v>30</v>
      </c>
      <c r="F843" s="10"/>
      <c r="G843" s="3">
        <f>0.4*F843</f>
        <v>0</v>
      </c>
      <c r="H843" s="3">
        <f>0.0022848*F843</f>
        <v>0</v>
      </c>
      <c r="I843" s="3"/>
      <c r="J843" s="3" t="s">
        <v>299</v>
      </c>
    </row>
    <row r="844" spans="1:10" ht="46.9" hidden="1" customHeight="1">
      <c r="A844" s="7" t="s">
        <v>355</v>
      </c>
      <c r="B844" s="4">
        <v>3800021</v>
      </c>
      <c r="C844" s="3"/>
      <c r="D844" s="9" t="s">
        <v>63</v>
      </c>
      <c r="E844" s="4">
        <v>24</v>
      </c>
      <c r="F844" s="10"/>
      <c r="G844" s="3">
        <f>0.43*F844</f>
        <v>0</v>
      </c>
      <c r="H844" s="3">
        <f>0.002325625*F844</f>
        <v>0</v>
      </c>
      <c r="I844" s="3"/>
      <c r="J844" s="3" t="s">
        <v>299</v>
      </c>
    </row>
    <row r="845" spans="1:10" ht="46.9" hidden="1" customHeight="1">
      <c r="A845" s="7" t="s">
        <v>355</v>
      </c>
      <c r="B845" s="4">
        <v>2800055</v>
      </c>
      <c r="C845" s="3"/>
      <c r="D845" s="9" t="s">
        <v>64</v>
      </c>
      <c r="E845" s="4">
        <v>24</v>
      </c>
      <c r="F845" s="10"/>
      <c r="G845" s="3">
        <f>0.26*F845</f>
        <v>0</v>
      </c>
      <c r="H845" s="3">
        <f>0.001899219*F845</f>
        <v>0</v>
      </c>
      <c r="I845" s="3"/>
      <c r="J845" s="3" t="s">
        <v>299</v>
      </c>
    </row>
    <row r="846" spans="1:10" ht="46.9" hidden="1" customHeight="1">
      <c r="A846" s="7" t="s">
        <v>355</v>
      </c>
      <c r="B846" s="4">
        <v>3950121</v>
      </c>
      <c r="C846" s="3"/>
      <c r="D846" s="9" t="s">
        <v>65</v>
      </c>
      <c r="E846" s="4">
        <v>12</v>
      </c>
      <c r="F846" s="10"/>
      <c r="G846" s="3">
        <f>0.31*F846</f>
        <v>0</v>
      </c>
      <c r="H846" s="3">
        <f>0.002025*F846</f>
        <v>0</v>
      </c>
      <c r="I846" s="3"/>
      <c r="J846" s="3" t="s">
        <v>299</v>
      </c>
    </row>
    <row r="847" spans="1:10" ht="46.9" hidden="1" customHeight="1">
      <c r="A847" s="7" t="s">
        <v>355</v>
      </c>
      <c r="B847" s="4">
        <v>3950123</v>
      </c>
      <c r="C847" s="3"/>
      <c r="D847" s="9" t="s">
        <v>66</v>
      </c>
      <c r="E847" s="4">
        <v>12</v>
      </c>
      <c r="F847" s="10"/>
      <c r="G847" s="3">
        <f>0.38*F847</f>
        <v>0</v>
      </c>
      <c r="H847" s="3">
        <f>0.001498333*F847</f>
        <v>0</v>
      </c>
      <c r="I847" s="3"/>
      <c r="J847" s="3" t="s">
        <v>299</v>
      </c>
    </row>
    <row r="848" spans="1:10" ht="46.9" hidden="1" customHeight="1">
      <c r="A848" s="7" t="s">
        <v>355</v>
      </c>
      <c r="B848" s="4">
        <v>3950124</v>
      </c>
      <c r="C848" s="3"/>
      <c r="D848" s="9" t="s">
        <v>67</v>
      </c>
      <c r="E848" s="4">
        <v>12</v>
      </c>
      <c r="F848" s="10"/>
      <c r="G848" s="3">
        <f>0.34*F848</f>
        <v>0</v>
      </c>
      <c r="H848" s="3">
        <f>0.001701*F848</f>
        <v>0</v>
      </c>
      <c r="I848" s="3"/>
      <c r="J848" s="3" t="s">
        <v>299</v>
      </c>
    </row>
    <row r="849" spans="1:10" ht="46.9" hidden="1" customHeight="1">
      <c r="A849" s="7" t="s">
        <v>355</v>
      </c>
      <c r="B849" s="4">
        <v>3950140</v>
      </c>
      <c r="C849" s="3"/>
      <c r="D849" s="9" t="s">
        <v>68</v>
      </c>
      <c r="E849" s="4">
        <v>12</v>
      </c>
      <c r="F849" s="10"/>
      <c r="G849" s="3">
        <f>0.33*F849</f>
        <v>0</v>
      </c>
      <c r="H849" s="3">
        <f>0.0015525*F849</f>
        <v>0</v>
      </c>
      <c r="I849" s="3"/>
      <c r="J849" s="3" t="s">
        <v>299</v>
      </c>
    </row>
    <row r="850" spans="1:10" ht="46.9" hidden="1" customHeight="1">
      <c r="A850" s="7" t="s">
        <v>355</v>
      </c>
      <c r="B850" s="4">
        <v>3950146</v>
      </c>
      <c r="C850" s="3"/>
      <c r="D850" s="9" t="s">
        <v>69</v>
      </c>
      <c r="E850" s="4">
        <v>12</v>
      </c>
      <c r="F850" s="10"/>
      <c r="G850" s="3">
        <f>0.34*F850</f>
        <v>0</v>
      </c>
      <c r="H850" s="3">
        <f>0.001701*F850</f>
        <v>0</v>
      </c>
      <c r="I850" s="3"/>
      <c r="J850" s="3" t="s">
        <v>299</v>
      </c>
    </row>
    <row r="851" spans="1:10" ht="46.9" hidden="1" customHeight="1">
      <c r="A851" s="7" t="s">
        <v>355</v>
      </c>
      <c r="B851" s="4">
        <v>3950147</v>
      </c>
      <c r="C851" s="3"/>
      <c r="D851" s="9" t="s">
        <v>70</v>
      </c>
      <c r="E851" s="4">
        <v>12</v>
      </c>
      <c r="F851" s="10"/>
      <c r="G851" s="3">
        <f>0.33*F851</f>
        <v>0</v>
      </c>
      <c r="H851" s="3">
        <f>0.0015525*F851</f>
        <v>0</v>
      </c>
      <c r="I851" s="3"/>
      <c r="J851" s="3" t="s">
        <v>299</v>
      </c>
    </row>
    <row r="852" spans="1:10" ht="46.9" customHeight="1">
      <c r="A852" s="7" t="s">
        <v>355</v>
      </c>
      <c r="B852" s="4">
        <v>1100188</v>
      </c>
      <c r="C852" s="3"/>
      <c r="D852" s="9" t="s">
        <v>71</v>
      </c>
      <c r="E852" s="4">
        <v>12</v>
      </c>
      <c r="F852" s="10">
        <v>1</v>
      </c>
      <c r="G852" s="3">
        <f>0.49*F852</f>
        <v>0.49</v>
      </c>
      <c r="H852" s="3">
        <f>0.003102*F852</f>
        <v>3.1020000000000002E-3</v>
      </c>
      <c r="I852" s="3"/>
      <c r="J852" s="3" t="s">
        <v>299</v>
      </c>
    </row>
    <row r="853" spans="1:10" ht="46.9" hidden="1" customHeight="1">
      <c r="A853" s="7" t="s">
        <v>355</v>
      </c>
      <c r="B853" s="4">
        <v>1107039</v>
      </c>
      <c r="C853" s="3"/>
      <c r="D853" s="9" t="s">
        <v>72</v>
      </c>
      <c r="E853" s="4">
        <v>24</v>
      </c>
      <c r="F853" s="10"/>
      <c r="G853" s="3">
        <f>0.13*F853</f>
        <v>0</v>
      </c>
      <c r="H853" s="3">
        <f>0.001266182*F853</f>
        <v>0</v>
      </c>
      <c r="I853" s="3"/>
      <c r="J853" s="3" t="s">
        <v>299</v>
      </c>
    </row>
    <row r="854" spans="1:10" ht="46.9" hidden="1" customHeight="1">
      <c r="A854" s="7" t="s">
        <v>360</v>
      </c>
      <c r="B854" s="4">
        <v>1107040</v>
      </c>
      <c r="C854" s="3"/>
      <c r="D854" s="9" t="s">
        <v>73</v>
      </c>
      <c r="E854" s="4">
        <v>24</v>
      </c>
      <c r="F854" s="10"/>
      <c r="G854" s="3">
        <f>0.06*F854</f>
        <v>0</v>
      </c>
      <c r="H854" s="3">
        <f>0.000242201*F854</f>
        <v>0</v>
      </c>
      <c r="I854" s="3"/>
      <c r="J854" s="3" t="s">
        <v>299</v>
      </c>
    </row>
    <row r="855" spans="1:10" ht="46.9" hidden="1" customHeight="1">
      <c r="A855" s="7" t="s">
        <v>355</v>
      </c>
      <c r="B855" s="4">
        <v>1106252</v>
      </c>
      <c r="C855" s="3"/>
      <c r="D855" s="9" t="s">
        <v>74</v>
      </c>
      <c r="E855" s="4">
        <v>48</v>
      </c>
      <c r="F855" s="10"/>
      <c r="G855" s="3">
        <f>0.08*F855</f>
        <v>0</v>
      </c>
      <c r="H855" s="3">
        <f>0.000443229*F855</f>
        <v>0</v>
      </c>
      <c r="I855" s="3"/>
      <c r="J855" s="3" t="s">
        <v>299</v>
      </c>
    </row>
    <row r="856" spans="1:10" ht="18.75" hidden="1">
      <c r="A856" s="6"/>
      <c r="B856" s="19" t="s">
        <v>75</v>
      </c>
      <c r="C856" s="20"/>
      <c r="D856" s="20"/>
      <c r="E856" s="20"/>
      <c r="F856" s="20"/>
      <c r="G856" s="20"/>
      <c r="H856" s="20"/>
      <c r="I856" s="20"/>
      <c r="J856" s="21"/>
    </row>
    <row r="857" spans="1:10" ht="46.9" hidden="1" customHeight="1">
      <c r="A857" s="7" t="s">
        <v>355</v>
      </c>
      <c r="B857" s="4">
        <v>1694051</v>
      </c>
      <c r="C857" s="3"/>
      <c r="D857" s="9" t="s">
        <v>76</v>
      </c>
      <c r="E857" s="4">
        <v>8</v>
      </c>
      <c r="F857" s="10"/>
      <c r="G857" s="3">
        <f>1.1*F857</f>
        <v>0</v>
      </c>
      <c r="H857" s="3">
        <f>0.0050715*F857</f>
        <v>0</v>
      </c>
      <c r="I857" s="3"/>
      <c r="J857" s="3" t="s">
        <v>299</v>
      </c>
    </row>
    <row r="858" spans="1:10" ht="46.9" hidden="1" customHeight="1">
      <c r="A858" s="7" t="s">
        <v>355</v>
      </c>
      <c r="B858" s="4">
        <v>1694050</v>
      </c>
      <c r="C858" s="3"/>
      <c r="D858" s="9" t="s">
        <v>77</v>
      </c>
      <c r="E858" s="4">
        <v>8</v>
      </c>
      <c r="F858" s="10"/>
      <c r="G858" s="3">
        <f>1.26*F858</f>
        <v>0</v>
      </c>
      <c r="H858" s="3">
        <f>0.0050715*F858</f>
        <v>0</v>
      </c>
      <c r="I858" s="3"/>
      <c r="J858" s="3" t="s">
        <v>299</v>
      </c>
    </row>
    <row r="859" spans="1:10" ht="46.9" hidden="1" customHeight="1">
      <c r="A859" s="7" t="s">
        <v>360</v>
      </c>
      <c r="B859" s="4">
        <v>1690018</v>
      </c>
      <c r="C859" s="3"/>
      <c r="D859" s="9" t="s">
        <v>78</v>
      </c>
      <c r="E859" s="4">
        <v>6</v>
      </c>
      <c r="F859" s="10"/>
      <c r="G859" s="3">
        <f>1.08*F859</f>
        <v>0</v>
      </c>
      <c r="H859" s="3">
        <f>0.002478302*F859</f>
        <v>0</v>
      </c>
      <c r="I859" s="3"/>
      <c r="J859" s="3" t="s">
        <v>299</v>
      </c>
    </row>
    <row r="860" spans="1:10" ht="46.9" hidden="1" customHeight="1">
      <c r="A860" s="7" t="s">
        <v>360</v>
      </c>
      <c r="B860" s="4">
        <v>1690025</v>
      </c>
      <c r="C860" s="3"/>
      <c r="D860" s="9" t="s">
        <v>79</v>
      </c>
      <c r="E860" s="4">
        <v>6</v>
      </c>
      <c r="F860" s="10"/>
      <c r="G860" s="3">
        <f>0.77*F860</f>
        <v>0</v>
      </c>
      <c r="H860" s="3">
        <f>0.001582188*F860</f>
        <v>0</v>
      </c>
      <c r="I860" s="3"/>
      <c r="J860" s="3" t="s">
        <v>299</v>
      </c>
    </row>
    <row r="861" spans="1:10" ht="46.9" hidden="1" customHeight="1">
      <c r="A861" s="7" t="s">
        <v>360</v>
      </c>
      <c r="B861" s="4" t="s">
        <v>80</v>
      </c>
      <c r="C861" s="3"/>
      <c r="D861" s="9" t="s">
        <v>81</v>
      </c>
      <c r="E861" s="4">
        <v>12</v>
      </c>
      <c r="F861" s="10"/>
      <c r="G861" s="3">
        <f>1.71*F861</f>
        <v>0</v>
      </c>
      <c r="H861" s="3">
        <f>0.005715625*F861</f>
        <v>0</v>
      </c>
      <c r="I861" s="3"/>
      <c r="J861" s="3" t="s">
        <v>299</v>
      </c>
    </row>
    <row r="862" spans="1:10" ht="46.9" hidden="1" customHeight="1">
      <c r="A862" s="7" t="s">
        <v>360</v>
      </c>
      <c r="B862" s="4">
        <v>1690032</v>
      </c>
      <c r="C862" s="3"/>
      <c r="D862" s="9" t="s">
        <v>82</v>
      </c>
      <c r="E862" s="4">
        <v>6</v>
      </c>
      <c r="F862" s="10"/>
      <c r="G862" s="3">
        <f>0.43*F862</f>
        <v>0</v>
      </c>
      <c r="H862" s="3">
        <f>0.001110417*F862</f>
        <v>0</v>
      </c>
      <c r="I862" s="3"/>
      <c r="J862" s="3" t="s">
        <v>299</v>
      </c>
    </row>
    <row r="863" spans="1:10" ht="46.9" hidden="1" customHeight="1">
      <c r="A863" s="7" t="s">
        <v>360</v>
      </c>
      <c r="B863" s="4">
        <v>1690049</v>
      </c>
      <c r="C863" s="3"/>
      <c r="D863" s="9" t="s">
        <v>83</v>
      </c>
      <c r="E863" s="4">
        <v>6</v>
      </c>
      <c r="F863" s="10"/>
      <c r="G863" s="3">
        <f>0.32*F863</f>
        <v>0</v>
      </c>
      <c r="H863" s="3">
        <f>0.001054688*F863</f>
        <v>0</v>
      </c>
      <c r="I863" s="3"/>
      <c r="J863" s="3" t="s">
        <v>299</v>
      </c>
    </row>
    <row r="864" spans="1:10" ht="46.9" hidden="1" customHeight="1">
      <c r="A864" s="7" t="s">
        <v>360</v>
      </c>
      <c r="B864" s="4">
        <v>1690056</v>
      </c>
      <c r="C864" s="3"/>
      <c r="D864" s="9" t="s">
        <v>84</v>
      </c>
      <c r="E864" s="4">
        <v>6</v>
      </c>
      <c r="F864" s="10"/>
      <c r="G864" s="3">
        <f>0.51*F864</f>
        <v>0</v>
      </c>
      <c r="H864" s="3">
        <f>0.001778625*F864</f>
        <v>0</v>
      </c>
      <c r="I864" s="3"/>
      <c r="J864" s="3" t="s">
        <v>299</v>
      </c>
    </row>
    <row r="865" spans="1:10" ht="46.9" hidden="1" customHeight="1">
      <c r="A865" s="7" t="s">
        <v>360</v>
      </c>
      <c r="B865" s="4" t="s">
        <v>85</v>
      </c>
      <c r="C865" s="3"/>
      <c r="D865" s="9" t="s">
        <v>86</v>
      </c>
      <c r="E865" s="4">
        <v>12</v>
      </c>
      <c r="F865" s="10"/>
      <c r="G865" s="3">
        <f>1.16*F865</f>
        <v>0</v>
      </c>
      <c r="H865" s="3">
        <f>0.004694125*F865</f>
        <v>0</v>
      </c>
      <c r="I865" s="3"/>
      <c r="J865" s="3" t="s">
        <v>299</v>
      </c>
    </row>
    <row r="866" spans="1:10" ht="46.9" hidden="1" customHeight="1">
      <c r="A866" s="7" t="s">
        <v>355</v>
      </c>
      <c r="B866" s="4">
        <v>1690063</v>
      </c>
      <c r="C866" s="3"/>
      <c r="D866" s="9" t="s">
        <v>87</v>
      </c>
      <c r="E866" s="4">
        <v>8</v>
      </c>
      <c r="F866" s="10"/>
      <c r="G866" s="3">
        <f>1.1*F866</f>
        <v>0</v>
      </c>
      <c r="H866" s="3">
        <f>0.00864*F866</f>
        <v>0</v>
      </c>
      <c r="I866" s="3"/>
      <c r="J866" s="3" t="s">
        <v>299</v>
      </c>
    </row>
    <row r="867" spans="1:10" ht="46.9" customHeight="1">
      <c r="A867" s="7" t="s">
        <v>360</v>
      </c>
      <c r="B867" s="4">
        <v>1690070</v>
      </c>
      <c r="C867" s="3"/>
      <c r="D867" s="9" t="s">
        <v>88</v>
      </c>
      <c r="E867" s="4">
        <v>36</v>
      </c>
      <c r="F867" s="10">
        <v>1</v>
      </c>
      <c r="G867" s="3">
        <f>0.37*F867</f>
        <v>0.37</v>
      </c>
      <c r="H867" s="3">
        <f>0.0020995*F867</f>
        <v>2.0994999999999998E-3</v>
      </c>
      <c r="I867" s="3"/>
      <c r="J867" s="3" t="s">
        <v>299</v>
      </c>
    </row>
    <row r="868" spans="1:10" ht="46.9" hidden="1" customHeight="1">
      <c r="A868" s="7" t="s">
        <v>355</v>
      </c>
      <c r="B868" s="4">
        <v>1690087</v>
      </c>
      <c r="C868" s="3"/>
      <c r="D868" s="9" t="s">
        <v>89</v>
      </c>
      <c r="E868" s="4">
        <v>36</v>
      </c>
      <c r="F868" s="10"/>
      <c r="G868" s="3">
        <f>0.28*F868</f>
        <v>0</v>
      </c>
      <c r="H868" s="3">
        <f>0.001153854*F868</f>
        <v>0</v>
      </c>
      <c r="I868" s="3"/>
      <c r="J868" s="3" t="s">
        <v>299</v>
      </c>
    </row>
    <row r="869" spans="1:10" ht="46.9" hidden="1" customHeight="1">
      <c r="A869" s="7" t="s">
        <v>355</v>
      </c>
      <c r="B869" s="4">
        <v>1690094</v>
      </c>
      <c r="C869" s="3"/>
      <c r="D869" s="9" t="s">
        <v>90</v>
      </c>
      <c r="E869" s="4">
        <v>12</v>
      </c>
      <c r="F869" s="10"/>
      <c r="G869" s="3">
        <f>0.52*F869</f>
        <v>0</v>
      </c>
      <c r="H869" s="3">
        <f>0.002624*F869</f>
        <v>0</v>
      </c>
      <c r="I869" s="3"/>
      <c r="J869" s="3" t="s">
        <v>299</v>
      </c>
    </row>
    <row r="870" spans="1:10" ht="46.9" customHeight="1">
      <c r="A870" s="7" t="s">
        <v>360</v>
      </c>
      <c r="B870" s="4">
        <v>1690100</v>
      </c>
      <c r="C870" s="3"/>
      <c r="D870" s="9" t="s">
        <v>91</v>
      </c>
      <c r="E870" s="4">
        <v>6</v>
      </c>
      <c r="F870" s="10">
        <v>12</v>
      </c>
      <c r="G870" s="3">
        <f>0.49*F870</f>
        <v>5.88</v>
      </c>
      <c r="H870" s="3">
        <f>0.001765688*F870</f>
        <v>2.1188256000000003E-2</v>
      </c>
      <c r="I870" s="3"/>
      <c r="J870" s="3" t="s">
        <v>299</v>
      </c>
    </row>
    <row r="871" spans="1:10" ht="46.9" hidden="1" customHeight="1">
      <c r="A871" s="7" t="s">
        <v>360</v>
      </c>
      <c r="B871" s="4">
        <v>1690117</v>
      </c>
      <c r="C871" s="3"/>
      <c r="D871" s="9" t="s">
        <v>92</v>
      </c>
      <c r="E871" s="4">
        <v>6</v>
      </c>
      <c r="F871" s="10"/>
      <c r="G871" s="3">
        <f>1.27*F871</f>
        <v>0</v>
      </c>
      <c r="H871" s="3">
        <f>0.008281*F871</f>
        <v>0</v>
      </c>
      <c r="I871" s="3"/>
      <c r="J871" s="3" t="s">
        <v>299</v>
      </c>
    </row>
    <row r="872" spans="1:10" ht="46.9" hidden="1" customHeight="1">
      <c r="A872" s="7" t="s">
        <v>355</v>
      </c>
      <c r="B872" s="4" t="s">
        <v>93</v>
      </c>
      <c r="C872" s="3"/>
      <c r="D872" s="9" t="s">
        <v>92</v>
      </c>
      <c r="E872" s="4">
        <v>6</v>
      </c>
      <c r="F872" s="10"/>
      <c r="G872" s="3">
        <f>1.35*F872</f>
        <v>0</v>
      </c>
      <c r="H872" s="3">
        <f>0.008281*F872</f>
        <v>0</v>
      </c>
      <c r="I872" s="3"/>
      <c r="J872" s="3" t="s">
        <v>299</v>
      </c>
    </row>
    <row r="873" spans="1:10" ht="46.9" hidden="1" customHeight="1">
      <c r="A873" s="7" t="s">
        <v>355</v>
      </c>
      <c r="B873" s="4">
        <v>1690124</v>
      </c>
      <c r="C873" s="3"/>
      <c r="D873" s="9" t="s">
        <v>94</v>
      </c>
      <c r="E873" s="4">
        <v>12</v>
      </c>
      <c r="F873" s="10"/>
      <c r="G873" s="3">
        <f>0.16*F873</f>
        <v>0</v>
      </c>
      <c r="H873" s="3">
        <f>0.001078125*F873</f>
        <v>0</v>
      </c>
      <c r="I873" s="3"/>
      <c r="J873" s="3" t="s">
        <v>299</v>
      </c>
    </row>
    <row r="874" spans="1:10" ht="46.9" hidden="1" customHeight="1">
      <c r="A874" s="7" t="s">
        <v>355</v>
      </c>
      <c r="B874" s="4">
        <v>1690131</v>
      </c>
      <c r="C874" s="3"/>
      <c r="D874" s="9" t="s">
        <v>95</v>
      </c>
      <c r="E874" s="4">
        <v>12</v>
      </c>
      <c r="F874" s="10"/>
      <c r="G874" s="3">
        <f>0.16*F874</f>
        <v>0</v>
      </c>
      <c r="H874" s="3">
        <f>0.001078125*F874</f>
        <v>0</v>
      </c>
      <c r="I874" s="3"/>
      <c r="J874" s="3" t="s">
        <v>299</v>
      </c>
    </row>
    <row r="875" spans="1:10" ht="46.9" hidden="1" customHeight="1">
      <c r="A875" s="7" t="s">
        <v>355</v>
      </c>
      <c r="B875" s="4">
        <v>1690148</v>
      </c>
      <c r="C875" s="3"/>
      <c r="D875" s="9" t="s">
        <v>96</v>
      </c>
      <c r="E875" s="4">
        <v>8</v>
      </c>
      <c r="F875" s="10"/>
      <c r="G875" s="3">
        <f>0.95*F875</f>
        <v>0</v>
      </c>
      <c r="H875" s="3">
        <f>0.006422813*F875</f>
        <v>0</v>
      </c>
      <c r="I875" s="3"/>
      <c r="J875" s="3" t="s">
        <v>299</v>
      </c>
    </row>
    <row r="876" spans="1:10" ht="46.9" hidden="1" customHeight="1">
      <c r="A876" s="7" t="s">
        <v>360</v>
      </c>
      <c r="B876" s="4">
        <v>1690179</v>
      </c>
      <c r="C876" s="3"/>
      <c r="D876" s="9" t="s">
        <v>97</v>
      </c>
      <c r="E876" s="4">
        <v>6</v>
      </c>
      <c r="F876" s="10"/>
      <c r="G876" s="3">
        <f>1.02*F876</f>
        <v>0</v>
      </c>
      <c r="H876" s="3">
        <f>0.00631125*F876</f>
        <v>0</v>
      </c>
      <c r="I876" s="3"/>
      <c r="J876" s="3" t="s">
        <v>299</v>
      </c>
    </row>
    <row r="877" spans="1:10" ht="46.9" customHeight="1">
      <c r="A877" s="7" t="s">
        <v>360</v>
      </c>
      <c r="B877" s="4">
        <v>1690186</v>
      </c>
      <c r="C877" s="3"/>
      <c r="D877" s="9" t="s">
        <v>98</v>
      </c>
      <c r="E877" s="4">
        <v>6</v>
      </c>
      <c r="F877" s="10">
        <v>6</v>
      </c>
      <c r="G877" s="3">
        <f>0.39*F877</f>
        <v>2.34</v>
      </c>
      <c r="H877" s="3">
        <f>0.001376667*F877</f>
        <v>8.2600020000000007E-3</v>
      </c>
      <c r="I877" s="3"/>
      <c r="J877" s="3" t="s">
        <v>299</v>
      </c>
    </row>
    <row r="878" spans="1:10" ht="46.9" hidden="1" customHeight="1">
      <c r="A878" s="7" t="s">
        <v>355</v>
      </c>
      <c r="B878" s="4">
        <v>1690193</v>
      </c>
      <c r="C878" s="3"/>
      <c r="D878" s="9" t="s">
        <v>99</v>
      </c>
      <c r="E878" s="4">
        <v>6</v>
      </c>
      <c r="F878" s="10"/>
      <c r="G878" s="3">
        <f>0.27*F878</f>
        <v>0</v>
      </c>
      <c r="H878" s="3">
        <f>0.00106425*F878</f>
        <v>0</v>
      </c>
      <c r="I878" s="3"/>
      <c r="J878" s="3" t="s">
        <v>299</v>
      </c>
    </row>
    <row r="879" spans="1:10" ht="46.9" customHeight="1">
      <c r="A879" s="7" t="s">
        <v>360</v>
      </c>
      <c r="B879" s="4">
        <v>1690209</v>
      </c>
      <c r="C879" s="3"/>
      <c r="D879" s="9" t="s">
        <v>100</v>
      </c>
      <c r="E879" s="4">
        <v>6</v>
      </c>
      <c r="F879" s="10">
        <v>12</v>
      </c>
      <c r="G879" s="3">
        <f>0.62*F879</f>
        <v>7.4399999999999995</v>
      </c>
      <c r="H879" s="3">
        <f>0.002314125*F879</f>
        <v>2.7769500000000003E-2</v>
      </c>
      <c r="I879" s="3"/>
      <c r="J879" s="3" t="s">
        <v>299</v>
      </c>
    </row>
    <row r="880" spans="1:10" ht="46.9" hidden="1" customHeight="1">
      <c r="A880" s="7" t="s">
        <v>360</v>
      </c>
      <c r="B880" s="4">
        <v>1690216</v>
      </c>
      <c r="C880" s="3"/>
      <c r="D880" s="9" t="s">
        <v>101</v>
      </c>
      <c r="E880" s="4">
        <v>6</v>
      </c>
      <c r="F880" s="10"/>
      <c r="G880" s="3">
        <f>0.33*F880</f>
        <v>0</v>
      </c>
      <c r="H880" s="3">
        <f>0.001186458*F880</f>
        <v>0</v>
      </c>
      <c r="I880" s="3"/>
      <c r="J880" s="3" t="s">
        <v>299</v>
      </c>
    </row>
    <row r="881" spans="1:10" ht="46.9" customHeight="1">
      <c r="A881" s="7" t="s">
        <v>355</v>
      </c>
      <c r="B881" s="4">
        <v>1690223</v>
      </c>
      <c r="C881" s="3"/>
      <c r="D881" s="9" t="s">
        <v>102</v>
      </c>
      <c r="E881" s="4">
        <v>6</v>
      </c>
      <c r="F881" s="10">
        <v>4</v>
      </c>
      <c r="G881" s="3">
        <f>0.12*F881</f>
        <v>0.48</v>
      </c>
      <c r="H881" s="3">
        <f>0.000455542*F881</f>
        <v>1.8221680000000001E-3</v>
      </c>
      <c r="I881" s="3"/>
      <c r="J881" s="3" t="s">
        <v>299</v>
      </c>
    </row>
    <row r="882" spans="1:10" ht="46.9" hidden="1" customHeight="1">
      <c r="A882" s="7" t="s">
        <v>355</v>
      </c>
      <c r="B882" s="4">
        <v>1690230</v>
      </c>
      <c r="C882" s="3"/>
      <c r="D882" s="9" t="s">
        <v>103</v>
      </c>
      <c r="E882" s="4">
        <v>12</v>
      </c>
      <c r="F882" s="10"/>
      <c r="G882" s="3">
        <f>0.43*F882</f>
        <v>0</v>
      </c>
      <c r="H882" s="3">
        <f>0.002558646*F882</f>
        <v>0</v>
      </c>
      <c r="I882" s="3"/>
      <c r="J882" s="3" t="s">
        <v>299</v>
      </c>
    </row>
    <row r="883" spans="1:10" ht="46.9" hidden="1" customHeight="1">
      <c r="A883" s="7" t="s">
        <v>355</v>
      </c>
      <c r="B883" s="4">
        <v>1690247</v>
      </c>
      <c r="C883" s="3"/>
      <c r="D883" s="9" t="s">
        <v>104</v>
      </c>
      <c r="E883" s="4">
        <v>12</v>
      </c>
      <c r="F883" s="10"/>
      <c r="G883" s="3">
        <f>0.48*F883</f>
        <v>0</v>
      </c>
      <c r="H883" s="3">
        <f>0.002591875*F883</f>
        <v>0</v>
      </c>
      <c r="I883" s="3"/>
      <c r="J883" s="3" t="s">
        <v>299</v>
      </c>
    </row>
    <row r="884" spans="1:10" ht="46.9" hidden="1" customHeight="1">
      <c r="A884" s="7" t="s">
        <v>355</v>
      </c>
      <c r="B884" s="4">
        <v>1690254</v>
      </c>
      <c r="C884" s="3"/>
      <c r="D884" s="9" t="s">
        <v>105</v>
      </c>
      <c r="E884" s="4">
        <v>12</v>
      </c>
      <c r="F884" s="10"/>
      <c r="G884" s="3">
        <f>1.27*F884</f>
        <v>0</v>
      </c>
      <c r="H884" s="3">
        <f>0.006295667*F884</f>
        <v>0</v>
      </c>
      <c r="I884" s="3"/>
      <c r="J884" s="3" t="s">
        <v>299</v>
      </c>
    </row>
    <row r="885" spans="1:10" ht="46.9" hidden="1" customHeight="1">
      <c r="A885" s="7" t="s">
        <v>360</v>
      </c>
      <c r="B885" s="4" t="s">
        <v>106</v>
      </c>
      <c r="C885" s="3"/>
      <c r="D885" s="9" t="s">
        <v>107</v>
      </c>
      <c r="E885" s="4">
        <v>3</v>
      </c>
      <c r="F885" s="10"/>
      <c r="G885" s="3">
        <f>1.99*F885</f>
        <v>0</v>
      </c>
      <c r="H885" s="3">
        <f>0.006206667*F885</f>
        <v>0</v>
      </c>
      <c r="I885" s="3"/>
      <c r="J885" s="3" t="s">
        <v>299</v>
      </c>
    </row>
    <row r="886" spans="1:10" ht="46.9" hidden="1" customHeight="1">
      <c r="A886" s="7" t="s">
        <v>360</v>
      </c>
      <c r="B886" s="4">
        <v>1690315</v>
      </c>
      <c r="C886" s="3"/>
      <c r="D886" s="9" t="s">
        <v>108</v>
      </c>
      <c r="E886" s="4">
        <v>6</v>
      </c>
      <c r="F886" s="10"/>
      <c r="G886" s="3">
        <f>1.3*F886</f>
        <v>0</v>
      </c>
      <c r="H886" s="3">
        <f>0.008223833*F886</f>
        <v>0</v>
      </c>
      <c r="I886" s="3"/>
      <c r="J886" s="3" t="s">
        <v>299</v>
      </c>
    </row>
    <row r="887" spans="1:10" ht="46.9" hidden="1" customHeight="1">
      <c r="A887" s="7" t="s">
        <v>360</v>
      </c>
      <c r="B887" s="4">
        <v>1690322</v>
      </c>
      <c r="C887" s="3"/>
      <c r="D887" s="9" t="s">
        <v>109</v>
      </c>
      <c r="E887" s="4">
        <v>6</v>
      </c>
      <c r="F887" s="10"/>
      <c r="G887" s="3">
        <f>0.45*F887</f>
        <v>0</v>
      </c>
      <c r="H887" s="3">
        <f>0.001796438*F887</f>
        <v>0</v>
      </c>
      <c r="I887" s="3"/>
      <c r="J887" s="3" t="s">
        <v>299</v>
      </c>
    </row>
    <row r="888" spans="1:10" ht="46.9" hidden="1" customHeight="1">
      <c r="A888" s="7" t="s">
        <v>360</v>
      </c>
      <c r="B888" s="4">
        <v>1690339</v>
      </c>
      <c r="C888" s="3"/>
      <c r="D888" s="9" t="s">
        <v>110</v>
      </c>
      <c r="E888" s="4">
        <v>6</v>
      </c>
      <c r="F888" s="10"/>
      <c r="G888" s="3">
        <f>0.29*F888</f>
        <v>0</v>
      </c>
      <c r="H888" s="3">
        <f>0.00138125*F888</f>
        <v>0</v>
      </c>
      <c r="I888" s="3"/>
      <c r="J888" s="3" t="s">
        <v>299</v>
      </c>
    </row>
    <row r="889" spans="1:10" ht="46.9" hidden="1" customHeight="1">
      <c r="A889" s="7" t="s">
        <v>360</v>
      </c>
      <c r="B889" s="4">
        <v>1690346</v>
      </c>
      <c r="C889" s="3"/>
      <c r="D889" s="9" t="s">
        <v>111</v>
      </c>
      <c r="E889" s="4">
        <v>6</v>
      </c>
      <c r="F889" s="10"/>
      <c r="G889" s="3">
        <f>0.37*F889</f>
        <v>0</v>
      </c>
      <c r="H889" s="3">
        <f>0.001336417*F889</f>
        <v>0</v>
      </c>
      <c r="I889" s="3"/>
      <c r="J889" s="3" t="s">
        <v>299</v>
      </c>
    </row>
    <row r="890" spans="1:10" ht="46.9" hidden="1" customHeight="1">
      <c r="A890" s="7" t="s">
        <v>360</v>
      </c>
      <c r="B890" s="4">
        <v>1690353</v>
      </c>
      <c r="C890" s="3"/>
      <c r="D890" s="9" t="s">
        <v>112</v>
      </c>
      <c r="E890" s="4">
        <v>8</v>
      </c>
      <c r="F890" s="10"/>
      <c r="G890" s="3">
        <f>0.87*F890</f>
        <v>0</v>
      </c>
      <c r="H890" s="3">
        <f>0.004632188*F890</f>
        <v>0</v>
      </c>
      <c r="I890" s="3"/>
      <c r="J890" s="3" t="s">
        <v>299</v>
      </c>
    </row>
    <row r="891" spans="1:10" ht="46.9" hidden="1" customHeight="1">
      <c r="A891" s="7" t="s">
        <v>355</v>
      </c>
      <c r="B891" s="4">
        <v>1693125</v>
      </c>
      <c r="C891" s="3"/>
      <c r="D891" s="9" t="s">
        <v>113</v>
      </c>
      <c r="E891" s="4">
        <v>4</v>
      </c>
      <c r="F891" s="10"/>
      <c r="G891" s="3">
        <f>0.18*F891</f>
        <v>0</v>
      </c>
      <c r="H891" s="3">
        <f>0.000362604*F891</f>
        <v>0</v>
      </c>
      <c r="I891" s="3"/>
      <c r="J891" s="3" t="s">
        <v>299</v>
      </c>
    </row>
    <row r="892" spans="1:10" ht="46.9" hidden="1" customHeight="1">
      <c r="A892" s="7" t="s">
        <v>355</v>
      </c>
      <c r="B892" s="4">
        <v>1693170</v>
      </c>
      <c r="C892" s="3"/>
      <c r="D892" s="9" t="s">
        <v>114</v>
      </c>
      <c r="E892" s="4">
        <v>4</v>
      </c>
      <c r="F892" s="10"/>
      <c r="G892" s="3">
        <f>1*F892</f>
        <v>0</v>
      </c>
      <c r="H892" s="3">
        <f>0.001801875*F892</f>
        <v>0</v>
      </c>
      <c r="I892" s="3"/>
      <c r="J892" s="3" t="s">
        <v>299</v>
      </c>
    </row>
    <row r="893" spans="1:10" ht="46.9" hidden="1" customHeight="1">
      <c r="A893" s="7" t="s">
        <v>355</v>
      </c>
      <c r="B893" s="4">
        <v>1693194</v>
      </c>
      <c r="C893" s="3"/>
      <c r="D893" s="9" t="s">
        <v>115</v>
      </c>
      <c r="E893" s="4">
        <v>6</v>
      </c>
      <c r="F893" s="10"/>
      <c r="G893" s="3">
        <f>1.54*F893</f>
        <v>0</v>
      </c>
      <c r="H893" s="3">
        <f>0.002929167*F893</f>
        <v>0</v>
      </c>
      <c r="I893" s="3"/>
      <c r="J893" s="3" t="s">
        <v>299</v>
      </c>
    </row>
    <row r="894" spans="1:10" ht="46.9" hidden="1" customHeight="1">
      <c r="A894" s="7" t="s">
        <v>355</v>
      </c>
      <c r="B894" s="4">
        <v>1693224</v>
      </c>
      <c r="C894" s="3"/>
      <c r="D894" s="9" t="s">
        <v>116</v>
      </c>
      <c r="E894" s="4">
        <v>4</v>
      </c>
      <c r="F894" s="10"/>
      <c r="G894" s="3">
        <f>1.07*F894</f>
        <v>0</v>
      </c>
      <c r="H894" s="3">
        <f>0.002482583*F894</f>
        <v>0</v>
      </c>
      <c r="I894" s="3"/>
      <c r="J894" s="3" t="s">
        <v>299</v>
      </c>
    </row>
    <row r="895" spans="1:10" ht="46.9" hidden="1" customHeight="1">
      <c r="A895" s="7" t="s">
        <v>355</v>
      </c>
      <c r="B895" s="4">
        <v>1693255</v>
      </c>
      <c r="C895" s="3"/>
      <c r="D895" s="9" t="s">
        <v>117</v>
      </c>
      <c r="E895" s="4">
        <v>6</v>
      </c>
      <c r="F895" s="10"/>
      <c r="G895" s="3">
        <f>1.35*F895</f>
        <v>0</v>
      </c>
      <c r="H895" s="3">
        <f>0.005880875*F895</f>
        <v>0</v>
      </c>
      <c r="I895" s="3"/>
      <c r="J895" s="3" t="s">
        <v>299</v>
      </c>
    </row>
    <row r="896" spans="1:10" ht="46.9" customHeight="1">
      <c r="A896" s="7" t="s">
        <v>355</v>
      </c>
      <c r="B896" s="4">
        <v>1693286</v>
      </c>
      <c r="C896" s="3"/>
      <c r="D896" s="9" t="s">
        <v>118</v>
      </c>
      <c r="E896" s="4">
        <v>6</v>
      </c>
      <c r="F896" s="10">
        <v>1</v>
      </c>
      <c r="G896" s="3">
        <f>1.27*F896</f>
        <v>1.27</v>
      </c>
      <c r="H896" s="3">
        <f>0.005612*F896</f>
        <v>5.6119999999999998E-3</v>
      </c>
      <c r="I896" s="3"/>
      <c r="J896" s="3" t="s">
        <v>299</v>
      </c>
    </row>
    <row r="897" spans="1:10" ht="46.9" hidden="1" customHeight="1">
      <c r="A897" s="7" t="s">
        <v>355</v>
      </c>
      <c r="B897" s="4">
        <v>1693392</v>
      </c>
      <c r="C897" s="3"/>
      <c r="D897" s="9" t="s">
        <v>119</v>
      </c>
      <c r="E897" s="4">
        <v>6</v>
      </c>
      <c r="F897" s="10"/>
      <c r="G897" s="3">
        <f>0.73*F897</f>
        <v>0</v>
      </c>
      <c r="H897" s="3">
        <f>0.003089667*F897</f>
        <v>0</v>
      </c>
      <c r="I897" s="3"/>
      <c r="J897" s="3" t="s">
        <v>299</v>
      </c>
    </row>
    <row r="898" spans="1:10" ht="46.9" hidden="1" customHeight="1">
      <c r="A898" s="7" t="s">
        <v>355</v>
      </c>
      <c r="B898" s="4">
        <v>1693422</v>
      </c>
      <c r="C898" s="3"/>
      <c r="D898" s="9" t="s">
        <v>120</v>
      </c>
      <c r="E898" s="4">
        <v>4</v>
      </c>
      <c r="F898" s="10"/>
      <c r="G898" s="3">
        <f>1.56*F898</f>
        <v>0</v>
      </c>
      <c r="H898" s="3">
        <f>0.00624225*F898</f>
        <v>0</v>
      </c>
      <c r="I898" s="3"/>
      <c r="J898" s="3" t="s">
        <v>299</v>
      </c>
    </row>
    <row r="899" spans="1:10" ht="46.9" hidden="1" customHeight="1">
      <c r="A899" s="7" t="s">
        <v>355</v>
      </c>
      <c r="B899" s="4">
        <v>1693484</v>
      </c>
      <c r="C899" s="3"/>
      <c r="D899" s="9" t="s">
        <v>121</v>
      </c>
      <c r="E899" s="4">
        <v>12</v>
      </c>
      <c r="F899" s="10"/>
      <c r="G899" s="3">
        <f>1.03*F899</f>
        <v>0</v>
      </c>
      <c r="H899" s="3">
        <f>0.003075*F899</f>
        <v>0</v>
      </c>
      <c r="I899" s="3"/>
      <c r="J899" s="3" t="s">
        <v>299</v>
      </c>
    </row>
    <row r="900" spans="1:10" ht="46.9" hidden="1" customHeight="1">
      <c r="A900" s="7" t="s">
        <v>355</v>
      </c>
      <c r="B900" s="4">
        <v>1693491</v>
      </c>
      <c r="C900" s="3"/>
      <c r="D900" s="9" t="s">
        <v>122</v>
      </c>
      <c r="E900" s="4">
        <v>12</v>
      </c>
      <c r="F900" s="10"/>
      <c r="G900" s="3">
        <f>1.37*F900</f>
        <v>0</v>
      </c>
      <c r="H900" s="3">
        <f>0.004210417*F900</f>
        <v>0</v>
      </c>
      <c r="I900" s="3"/>
      <c r="J900" s="3" t="s">
        <v>299</v>
      </c>
    </row>
    <row r="901" spans="1:10" ht="46.9" hidden="1" customHeight="1">
      <c r="A901" s="7" t="s">
        <v>355</v>
      </c>
      <c r="B901" s="4">
        <v>1693613</v>
      </c>
      <c r="C901" s="3"/>
      <c r="D901" s="9" t="s">
        <v>123</v>
      </c>
      <c r="E901" s="4">
        <v>12</v>
      </c>
      <c r="F901" s="10"/>
      <c r="G901" s="3">
        <f>0.8*F901</f>
        <v>0</v>
      </c>
      <c r="H901" s="3">
        <f>0.001956938*F901</f>
        <v>0</v>
      </c>
      <c r="I901" s="3"/>
      <c r="J901" s="3" t="s">
        <v>299</v>
      </c>
    </row>
    <row r="902" spans="1:10" ht="46.9" hidden="1" customHeight="1">
      <c r="A902" s="7" t="s">
        <v>355</v>
      </c>
      <c r="B902" s="4">
        <v>1693651</v>
      </c>
      <c r="C902" s="3"/>
      <c r="D902" s="9" t="s">
        <v>124</v>
      </c>
      <c r="E902" s="4">
        <v>24</v>
      </c>
      <c r="F902" s="10"/>
      <c r="G902" s="3">
        <f>0.38*F902</f>
        <v>0</v>
      </c>
      <c r="H902" s="3">
        <f>0.001318896*F902</f>
        <v>0</v>
      </c>
      <c r="I902" s="3"/>
      <c r="J902" s="3" t="s">
        <v>299</v>
      </c>
    </row>
    <row r="903" spans="1:10" ht="46.9" hidden="1" customHeight="1">
      <c r="A903" s="7" t="s">
        <v>355</v>
      </c>
      <c r="B903" s="4">
        <v>1693675</v>
      </c>
      <c r="C903" s="3"/>
      <c r="D903" s="9" t="s">
        <v>125</v>
      </c>
      <c r="E903" s="4">
        <v>12</v>
      </c>
      <c r="F903" s="10"/>
      <c r="G903" s="3">
        <f>1.2*F903</f>
        <v>0</v>
      </c>
      <c r="H903" s="3">
        <f>0.004059*F903</f>
        <v>0</v>
      </c>
      <c r="I903" s="3"/>
      <c r="J903" s="3" t="s">
        <v>299</v>
      </c>
    </row>
    <row r="904" spans="1:10" ht="46.9" hidden="1" customHeight="1">
      <c r="A904" s="7" t="s">
        <v>355</v>
      </c>
      <c r="B904" s="4">
        <v>1693699</v>
      </c>
      <c r="C904" s="3"/>
      <c r="D904" s="9" t="s">
        <v>126</v>
      </c>
      <c r="E904" s="4">
        <v>12</v>
      </c>
      <c r="F904" s="10"/>
      <c r="G904" s="3">
        <f>0.8*F904</f>
        <v>0</v>
      </c>
      <c r="H904" s="3">
        <f>0.002549167*F904</f>
        <v>0</v>
      </c>
      <c r="I904" s="3"/>
      <c r="J904" s="3" t="s">
        <v>299</v>
      </c>
    </row>
    <row r="905" spans="1:10" ht="46.9" hidden="1" customHeight="1">
      <c r="A905" s="7" t="s">
        <v>355</v>
      </c>
      <c r="B905" s="4">
        <v>3700024</v>
      </c>
      <c r="C905" s="3"/>
      <c r="D905" s="9" t="s">
        <v>127</v>
      </c>
      <c r="E905" s="4">
        <v>25</v>
      </c>
      <c r="F905" s="10"/>
      <c r="G905" s="3">
        <f>0.44*F905</f>
        <v>0</v>
      </c>
      <c r="H905" s="3">
        <f>0.0018975*F905</f>
        <v>0</v>
      </c>
      <c r="I905" s="3"/>
      <c r="J905" s="3" t="s">
        <v>299</v>
      </c>
    </row>
    <row r="906" spans="1:10" ht="46.9" hidden="1" customHeight="1">
      <c r="A906" s="7" t="s">
        <v>355</v>
      </c>
      <c r="B906" s="4">
        <v>3700025</v>
      </c>
      <c r="C906" s="3"/>
      <c r="D906" s="9" t="s">
        <v>128</v>
      </c>
      <c r="E906" s="4">
        <v>40</v>
      </c>
      <c r="F906" s="10"/>
      <c r="G906" s="3">
        <f>0.38*F906</f>
        <v>0</v>
      </c>
      <c r="H906" s="3">
        <f>0.001947881*F906</f>
        <v>0</v>
      </c>
      <c r="I906" s="3"/>
      <c r="J906" s="3" t="s">
        <v>299</v>
      </c>
    </row>
    <row r="907" spans="1:10" ht="46.9" hidden="1" customHeight="1">
      <c r="A907" s="7" t="s">
        <v>355</v>
      </c>
      <c r="B907" s="4">
        <v>3700423</v>
      </c>
      <c r="C907" s="3"/>
      <c r="D907" s="9" t="s">
        <v>129</v>
      </c>
      <c r="E907" s="4">
        <v>5</v>
      </c>
      <c r="F907" s="10"/>
      <c r="G907" s="3">
        <f>2.6*F907</f>
        <v>0</v>
      </c>
      <c r="H907" s="3">
        <f>0.005456*F907</f>
        <v>0</v>
      </c>
      <c r="I907" s="3"/>
      <c r="J907" s="3" t="s">
        <v>299</v>
      </c>
    </row>
    <row r="908" spans="1:10" ht="46.9" hidden="1" customHeight="1">
      <c r="A908" s="7" t="s">
        <v>360</v>
      </c>
      <c r="B908" s="4">
        <v>3700427</v>
      </c>
      <c r="C908" s="3"/>
      <c r="D908" s="9" t="s">
        <v>130</v>
      </c>
      <c r="E908" s="4">
        <v>5</v>
      </c>
      <c r="F908" s="10"/>
      <c r="G908" s="3">
        <f>2.18*F908</f>
        <v>0</v>
      </c>
      <c r="H908" s="3">
        <f>0.003795*F908</f>
        <v>0</v>
      </c>
      <c r="I908" s="3"/>
      <c r="J908" s="3" t="s">
        <v>299</v>
      </c>
    </row>
    <row r="909" spans="1:10" ht="46.9" hidden="1" customHeight="1">
      <c r="A909" s="7" t="s">
        <v>360</v>
      </c>
      <c r="B909" s="4">
        <v>3700428</v>
      </c>
      <c r="C909" s="3"/>
      <c r="D909" s="9" t="s">
        <v>131</v>
      </c>
      <c r="E909" s="4">
        <v>5</v>
      </c>
      <c r="F909" s="10"/>
      <c r="G909" s="3">
        <f>2.58*F909</f>
        <v>0</v>
      </c>
      <c r="H909" s="3">
        <f>0.0049504*F909</f>
        <v>0</v>
      </c>
      <c r="I909" s="3"/>
      <c r="J909" s="3" t="s">
        <v>299</v>
      </c>
    </row>
    <row r="910" spans="1:10" ht="46.9" hidden="1" customHeight="1">
      <c r="A910" s="7" t="s">
        <v>360</v>
      </c>
      <c r="B910" s="4">
        <v>3700429</v>
      </c>
      <c r="C910" s="3"/>
      <c r="D910" s="9" t="s">
        <v>132</v>
      </c>
      <c r="E910" s="4">
        <v>4</v>
      </c>
      <c r="F910" s="10"/>
      <c r="G910" s="3">
        <f>3.6*F910</f>
        <v>0</v>
      </c>
      <c r="H910" s="3">
        <f>0.006622875*F910</f>
        <v>0</v>
      </c>
      <c r="I910" s="3"/>
      <c r="J910" s="3" t="s">
        <v>299</v>
      </c>
    </row>
    <row r="911" spans="1:10" ht="46.9" hidden="1" customHeight="1">
      <c r="A911" s="7" t="s">
        <v>360</v>
      </c>
      <c r="B911" s="4">
        <v>3700430</v>
      </c>
      <c r="C911" s="3"/>
      <c r="D911" s="9" t="s">
        <v>133</v>
      </c>
      <c r="E911" s="4">
        <v>5</v>
      </c>
      <c r="F911" s="10"/>
      <c r="G911" s="3">
        <f>1.94*F911</f>
        <v>0</v>
      </c>
      <c r="H911" s="3">
        <f>0.00419475*F911</f>
        <v>0</v>
      </c>
      <c r="I911" s="3"/>
      <c r="J911" s="3" t="s">
        <v>299</v>
      </c>
    </row>
    <row r="912" spans="1:10" ht="46.9" hidden="1" customHeight="1">
      <c r="A912" s="7" t="s">
        <v>355</v>
      </c>
      <c r="B912" s="4">
        <v>3700431</v>
      </c>
      <c r="C912" s="3"/>
      <c r="D912" s="9" t="s">
        <v>134</v>
      </c>
      <c r="E912" s="4">
        <v>8</v>
      </c>
      <c r="F912" s="10"/>
      <c r="G912" s="3">
        <f>1.59*F912</f>
        <v>0</v>
      </c>
      <c r="H912" s="3">
        <f>0.008870625*F912</f>
        <v>0</v>
      </c>
      <c r="I912" s="3"/>
      <c r="J912" s="3" t="s">
        <v>299</v>
      </c>
    </row>
    <row r="913" spans="1:10" ht="46.9" hidden="1" customHeight="1">
      <c r="A913" s="7" t="s">
        <v>360</v>
      </c>
      <c r="B913" s="4">
        <v>3700432</v>
      </c>
      <c r="C913" s="3"/>
      <c r="D913" s="9" t="s">
        <v>135</v>
      </c>
      <c r="E913" s="4">
        <v>20</v>
      </c>
      <c r="F913" s="10"/>
      <c r="G913" s="3">
        <f>0.76*F913</f>
        <v>0</v>
      </c>
      <c r="H913" s="3">
        <f>0.0032922*F913</f>
        <v>0</v>
      </c>
      <c r="I913" s="3"/>
      <c r="J913" s="3" t="s">
        <v>299</v>
      </c>
    </row>
    <row r="914" spans="1:10" ht="46.9" hidden="1" customHeight="1">
      <c r="A914" s="7" t="s">
        <v>360</v>
      </c>
      <c r="B914" s="4">
        <v>3700433</v>
      </c>
      <c r="C914" s="3"/>
      <c r="D914" s="9" t="s">
        <v>136</v>
      </c>
      <c r="E914" s="4">
        <v>12</v>
      </c>
      <c r="F914" s="10"/>
      <c r="G914" s="3">
        <f>1.05*F914</f>
        <v>0</v>
      </c>
      <c r="H914" s="3">
        <f>0.005204792*F914</f>
        <v>0</v>
      </c>
      <c r="I914" s="3"/>
      <c r="J914" s="3" t="s">
        <v>299</v>
      </c>
    </row>
    <row r="915" spans="1:10" ht="46.9" hidden="1" customHeight="1">
      <c r="A915" s="7" t="s">
        <v>360</v>
      </c>
      <c r="B915" s="4">
        <v>3700434</v>
      </c>
      <c r="C915" s="3"/>
      <c r="D915" s="9" t="s">
        <v>137</v>
      </c>
      <c r="E915" s="4">
        <v>12</v>
      </c>
      <c r="F915" s="10"/>
      <c r="G915" s="3">
        <f>1.23*F915</f>
        <v>0</v>
      </c>
      <c r="H915" s="3">
        <f>0.006328125*F915</f>
        <v>0</v>
      </c>
      <c r="I915" s="3"/>
      <c r="J915" s="3" t="s">
        <v>299</v>
      </c>
    </row>
    <row r="916" spans="1:10" ht="46.9" hidden="1" customHeight="1">
      <c r="A916" s="7" t="s">
        <v>360</v>
      </c>
      <c r="B916" s="4">
        <v>3700435</v>
      </c>
      <c r="C916" s="3"/>
      <c r="D916" s="9" t="s">
        <v>138</v>
      </c>
      <c r="E916" s="4">
        <v>20</v>
      </c>
      <c r="F916" s="10"/>
      <c r="G916" s="3">
        <f>0.61*F916</f>
        <v>0</v>
      </c>
      <c r="H916" s="3">
        <f>0.0028143*F916</f>
        <v>0</v>
      </c>
      <c r="I916" s="3"/>
      <c r="J916" s="3" t="s">
        <v>299</v>
      </c>
    </row>
    <row r="917" spans="1:10" ht="46.9" hidden="1" customHeight="1">
      <c r="A917" s="7" t="s">
        <v>360</v>
      </c>
      <c r="B917" s="4">
        <v>3700436</v>
      </c>
      <c r="C917" s="3"/>
      <c r="D917" s="9" t="s">
        <v>139</v>
      </c>
      <c r="E917" s="4">
        <v>40</v>
      </c>
      <c r="F917" s="10"/>
      <c r="G917" s="3">
        <f>0.34*F917</f>
        <v>0</v>
      </c>
      <c r="H917" s="3">
        <f>0.001224963*F917</f>
        <v>0</v>
      </c>
      <c r="I917" s="3"/>
      <c r="J917" s="3" t="s">
        <v>299</v>
      </c>
    </row>
    <row r="918" spans="1:10" ht="46.9" hidden="1" customHeight="1">
      <c r="A918" s="7" t="s">
        <v>360</v>
      </c>
      <c r="B918" s="4">
        <v>3700437</v>
      </c>
      <c r="C918" s="3"/>
      <c r="D918" s="9" t="s">
        <v>140</v>
      </c>
      <c r="E918" s="4">
        <v>8</v>
      </c>
      <c r="F918" s="10"/>
      <c r="G918" s="3">
        <f>0.99*F918</f>
        <v>0</v>
      </c>
      <c r="H918" s="3">
        <f>0.0057575*F918</f>
        <v>0</v>
      </c>
      <c r="I918" s="3"/>
      <c r="J918" s="3" t="s">
        <v>299</v>
      </c>
    </row>
    <row r="919" spans="1:10" ht="46.9" hidden="1" customHeight="1">
      <c r="A919" s="7" t="s">
        <v>360</v>
      </c>
      <c r="B919" s="4">
        <v>3700438</v>
      </c>
      <c r="C919" s="3"/>
      <c r="D919" s="9" t="s">
        <v>141</v>
      </c>
      <c r="E919" s="4">
        <v>1</v>
      </c>
      <c r="F919" s="10"/>
      <c r="G919" s="3">
        <f>0.83*F919</f>
        <v>0</v>
      </c>
      <c r="H919" s="3">
        <f>0.003399805*F919</f>
        <v>0</v>
      </c>
      <c r="I919" s="3"/>
      <c r="J919" s="3" t="s">
        <v>299</v>
      </c>
    </row>
    <row r="920" spans="1:10" ht="46.9" hidden="1" customHeight="1">
      <c r="A920" s="7" t="s">
        <v>355</v>
      </c>
      <c r="B920" s="4">
        <v>3700439</v>
      </c>
      <c r="C920" s="3"/>
      <c r="D920" s="9" t="s">
        <v>142</v>
      </c>
      <c r="E920" s="4">
        <v>20</v>
      </c>
      <c r="F920" s="10"/>
      <c r="G920" s="3">
        <f>0.53*F920</f>
        <v>0</v>
      </c>
      <c r="H920" s="3">
        <f>0.003182025*F920</f>
        <v>0</v>
      </c>
      <c r="I920" s="3"/>
      <c r="J920" s="3" t="s">
        <v>299</v>
      </c>
    </row>
    <row r="921" spans="1:10" ht="46.9" hidden="1" customHeight="1">
      <c r="A921" s="7" t="s">
        <v>355</v>
      </c>
      <c r="B921" s="4">
        <v>3700440</v>
      </c>
      <c r="C921" s="3"/>
      <c r="D921" s="9" t="s">
        <v>143</v>
      </c>
      <c r="E921" s="4">
        <v>12</v>
      </c>
      <c r="F921" s="10"/>
      <c r="G921" s="3">
        <f>0.94*F921</f>
        <v>0</v>
      </c>
      <c r="H921" s="3">
        <f>0.003825*F921</f>
        <v>0</v>
      </c>
      <c r="I921" s="3"/>
      <c r="J921" s="3" t="s">
        <v>299</v>
      </c>
    </row>
    <row r="922" spans="1:10" ht="46.9" hidden="1" customHeight="1">
      <c r="A922" s="7" t="s">
        <v>355</v>
      </c>
      <c r="B922" s="4">
        <v>3700441</v>
      </c>
      <c r="C922" s="3"/>
      <c r="D922" s="9" t="s">
        <v>144</v>
      </c>
      <c r="E922" s="4">
        <v>16</v>
      </c>
      <c r="F922" s="10"/>
      <c r="G922" s="3">
        <f>0.92*F922</f>
        <v>0</v>
      </c>
      <c r="H922" s="3">
        <f>0.003958875*F922</f>
        <v>0</v>
      </c>
      <c r="I922" s="3"/>
      <c r="J922" s="3" t="s">
        <v>299</v>
      </c>
    </row>
    <row r="923" spans="1:10" ht="46.9" hidden="1" customHeight="1">
      <c r="A923" s="7" t="s">
        <v>355</v>
      </c>
      <c r="B923" s="4">
        <v>3700442</v>
      </c>
      <c r="C923" s="3"/>
      <c r="D923" s="9" t="s">
        <v>145</v>
      </c>
      <c r="E923" s="4">
        <v>24</v>
      </c>
      <c r="F923" s="10"/>
      <c r="G923" s="3">
        <f>0.68*F923</f>
        <v>0</v>
      </c>
      <c r="H923" s="3">
        <f>0.002504052*F923</f>
        <v>0</v>
      </c>
      <c r="I923" s="3"/>
      <c r="J923" s="3" t="s">
        <v>299</v>
      </c>
    </row>
    <row r="924" spans="1:10" ht="46.9" hidden="1" customHeight="1">
      <c r="A924" s="7" t="s">
        <v>355</v>
      </c>
      <c r="B924" s="4">
        <v>3700443</v>
      </c>
      <c r="C924" s="3"/>
      <c r="D924" s="9" t="s">
        <v>146</v>
      </c>
      <c r="E924" s="4">
        <v>24</v>
      </c>
      <c r="F924" s="10"/>
      <c r="G924" s="3">
        <f>0.67*F924</f>
        <v>0</v>
      </c>
      <c r="H924" s="3">
        <f>0.002457*F924</f>
        <v>0</v>
      </c>
      <c r="I924" s="3"/>
      <c r="J924" s="3" t="s">
        <v>299</v>
      </c>
    </row>
    <row r="925" spans="1:10" ht="46.9" hidden="1" customHeight="1">
      <c r="A925" s="7" t="s">
        <v>355</v>
      </c>
      <c r="B925" s="4">
        <v>3700444</v>
      </c>
      <c r="C925" s="3"/>
      <c r="D925" s="9" t="s">
        <v>147</v>
      </c>
      <c r="E925" s="4">
        <v>50</v>
      </c>
      <c r="F925" s="10"/>
      <c r="G925" s="3">
        <f>0.28*F925</f>
        <v>0</v>
      </c>
      <c r="H925" s="3">
        <f>0.00098496*F925</f>
        <v>0</v>
      </c>
      <c r="I925" s="3"/>
      <c r="J925" s="3" t="s">
        <v>299</v>
      </c>
    </row>
    <row r="926" spans="1:10" ht="46.9" hidden="1" customHeight="1">
      <c r="A926" s="7" t="s">
        <v>360</v>
      </c>
      <c r="B926" s="4">
        <v>3700445</v>
      </c>
      <c r="C926" s="3"/>
      <c r="D926" s="9" t="s">
        <v>148</v>
      </c>
      <c r="E926" s="4">
        <v>24</v>
      </c>
      <c r="F926" s="10"/>
      <c r="G926" s="3">
        <f>0.65*F926</f>
        <v>0</v>
      </c>
      <c r="H926" s="3">
        <f>0.002295563*F926</f>
        <v>0</v>
      </c>
      <c r="I926" s="3"/>
      <c r="J926" s="3" t="s">
        <v>299</v>
      </c>
    </row>
    <row r="927" spans="1:10" ht="46.9" hidden="1" customHeight="1">
      <c r="A927" s="7" t="s">
        <v>355</v>
      </c>
      <c r="B927" s="4">
        <v>3700446</v>
      </c>
      <c r="C927" s="3"/>
      <c r="D927" s="9" t="s">
        <v>149</v>
      </c>
      <c r="E927" s="4">
        <v>100</v>
      </c>
      <c r="F927" s="10"/>
      <c r="G927" s="3">
        <f>0.08*F927</f>
        <v>0</v>
      </c>
      <c r="H927" s="3">
        <f>0.00021275*F927</f>
        <v>0</v>
      </c>
      <c r="I927" s="3"/>
      <c r="J927" s="3" t="s">
        <v>299</v>
      </c>
    </row>
    <row r="928" spans="1:10" ht="46.9" hidden="1" customHeight="1">
      <c r="A928" s="7" t="s">
        <v>355</v>
      </c>
      <c r="B928" s="4">
        <v>3700447</v>
      </c>
      <c r="C928" s="3"/>
      <c r="D928" s="9" t="s">
        <v>150</v>
      </c>
      <c r="E928" s="4">
        <v>100</v>
      </c>
      <c r="F928" s="10"/>
      <c r="G928" s="3">
        <f>0.07*F928</f>
        <v>0</v>
      </c>
      <c r="H928" s="3">
        <f>0.00021275*F928</f>
        <v>0</v>
      </c>
      <c r="I928" s="3"/>
      <c r="J928" s="3" t="s">
        <v>299</v>
      </c>
    </row>
    <row r="929" spans="1:10" ht="46.9" hidden="1" customHeight="1">
      <c r="A929" s="7" t="s">
        <v>355</v>
      </c>
      <c r="B929" s="4">
        <v>3705000</v>
      </c>
      <c r="C929" s="3"/>
      <c r="D929" s="9" t="s">
        <v>151</v>
      </c>
      <c r="E929" s="4">
        <v>5</v>
      </c>
      <c r="F929" s="10"/>
      <c r="G929" s="3">
        <f>1.36*F929</f>
        <v>0</v>
      </c>
      <c r="H929" s="3">
        <f>0.0039825*F929</f>
        <v>0</v>
      </c>
      <c r="I929" s="3"/>
      <c r="J929" s="3" t="s">
        <v>299</v>
      </c>
    </row>
    <row r="930" spans="1:10" ht="46.9" hidden="1" customHeight="1">
      <c r="A930" s="7" t="s">
        <v>355</v>
      </c>
      <c r="B930" s="4">
        <v>3705001</v>
      </c>
      <c r="C930" s="3"/>
      <c r="D930" s="9" t="s">
        <v>152</v>
      </c>
      <c r="E930" s="4">
        <v>5</v>
      </c>
      <c r="F930" s="10"/>
      <c r="G930" s="3">
        <f>1.1*F930</f>
        <v>0</v>
      </c>
      <c r="H930" s="3">
        <f>0.002475*F930</f>
        <v>0</v>
      </c>
      <c r="I930" s="3"/>
      <c r="J930" s="3" t="s">
        <v>299</v>
      </c>
    </row>
    <row r="931" spans="1:10" ht="46.9" hidden="1" customHeight="1">
      <c r="A931" s="7" t="s">
        <v>355</v>
      </c>
      <c r="B931" s="4">
        <v>3705002</v>
      </c>
      <c r="C931" s="3"/>
      <c r="D931" s="9" t="s">
        <v>153</v>
      </c>
      <c r="E931" s="4">
        <v>5</v>
      </c>
      <c r="F931" s="10"/>
      <c r="G931" s="3">
        <f>1.3*F931</f>
        <v>0</v>
      </c>
      <c r="H931" s="3">
        <f>0.00334305*F931</f>
        <v>0</v>
      </c>
      <c r="I931" s="3"/>
      <c r="J931" s="3" t="s">
        <v>299</v>
      </c>
    </row>
    <row r="932" spans="1:10" ht="46.9" hidden="1" customHeight="1">
      <c r="A932" s="7" t="s">
        <v>355</v>
      </c>
      <c r="B932" s="4">
        <v>3705003</v>
      </c>
      <c r="C932" s="3"/>
      <c r="D932" s="9" t="s">
        <v>154</v>
      </c>
      <c r="E932" s="4">
        <v>4</v>
      </c>
      <c r="F932" s="10"/>
      <c r="G932" s="3">
        <f>1.9*F932</f>
        <v>0</v>
      </c>
      <c r="H932" s="3">
        <f>0.004264313*F932</f>
        <v>0</v>
      </c>
      <c r="I932" s="3"/>
      <c r="J932" s="3" t="s">
        <v>299</v>
      </c>
    </row>
    <row r="933" spans="1:10" ht="46.9" hidden="1" customHeight="1">
      <c r="A933" s="7" t="s">
        <v>355</v>
      </c>
      <c r="B933" s="4">
        <v>3705004</v>
      </c>
      <c r="C933" s="3"/>
      <c r="D933" s="9" t="s">
        <v>155</v>
      </c>
      <c r="E933" s="4">
        <v>5</v>
      </c>
      <c r="F933" s="10"/>
      <c r="G933" s="3">
        <f>1*F933</f>
        <v>0</v>
      </c>
      <c r="H933" s="3">
        <f>0.0029946*F933</f>
        <v>0</v>
      </c>
      <c r="I933" s="3"/>
      <c r="J933" s="3" t="s">
        <v>299</v>
      </c>
    </row>
    <row r="934" spans="1:10" ht="46.9" hidden="1" customHeight="1">
      <c r="A934" s="7" t="s">
        <v>355</v>
      </c>
      <c r="B934" s="4">
        <v>3705006</v>
      </c>
      <c r="C934" s="3"/>
      <c r="D934" s="9" t="s">
        <v>156</v>
      </c>
      <c r="E934" s="4">
        <v>20</v>
      </c>
      <c r="F934" s="10"/>
      <c r="G934" s="3">
        <f>0.76*F934</f>
        <v>0</v>
      </c>
      <c r="H934" s="3">
        <f>0.0032922*F934</f>
        <v>0</v>
      </c>
      <c r="I934" s="3"/>
      <c r="J934" s="3" t="s">
        <v>299</v>
      </c>
    </row>
    <row r="935" spans="1:10" ht="46.9" hidden="1" customHeight="1">
      <c r="A935" s="7" t="s">
        <v>355</v>
      </c>
      <c r="B935" s="4">
        <v>3705007</v>
      </c>
      <c r="C935" s="3"/>
      <c r="D935" s="9" t="s">
        <v>157</v>
      </c>
      <c r="E935" s="4">
        <v>12</v>
      </c>
      <c r="F935" s="10"/>
      <c r="G935" s="3">
        <f>1.05*F935</f>
        <v>0</v>
      </c>
      <c r="H935" s="3">
        <f>0.005204792*F935</f>
        <v>0</v>
      </c>
      <c r="I935" s="3"/>
      <c r="J935" s="3" t="s">
        <v>299</v>
      </c>
    </row>
    <row r="936" spans="1:10" ht="46.9" hidden="1" customHeight="1">
      <c r="A936" s="7" t="s">
        <v>360</v>
      </c>
      <c r="B936" s="4">
        <v>3705008</v>
      </c>
      <c r="C936" s="3"/>
      <c r="D936" s="9" t="s">
        <v>158</v>
      </c>
      <c r="E936" s="4">
        <v>12</v>
      </c>
      <c r="F936" s="10"/>
      <c r="G936" s="3">
        <f>1.23*F936</f>
        <v>0</v>
      </c>
      <c r="H936" s="3">
        <f>0.006328125*F936</f>
        <v>0</v>
      </c>
      <c r="I936" s="3"/>
      <c r="J936" s="3" t="s">
        <v>299</v>
      </c>
    </row>
    <row r="937" spans="1:10" ht="46.9" hidden="1" customHeight="1">
      <c r="A937" s="7" t="s">
        <v>355</v>
      </c>
      <c r="B937" s="4">
        <v>3705009</v>
      </c>
      <c r="C937" s="3"/>
      <c r="D937" s="9" t="s">
        <v>159</v>
      </c>
      <c r="E937" s="4">
        <v>20</v>
      </c>
      <c r="F937" s="10"/>
      <c r="G937" s="3">
        <f>0.61*F937</f>
        <v>0</v>
      </c>
      <c r="H937" s="3">
        <f>0.0028143*F937</f>
        <v>0</v>
      </c>
      <c r="I937" s="3"/>
      <c r="J937" s="3" t="s">
        <v>299</v>
      </c>
    </row>
    <row r="938" spans="1:10" ht="46.9" hidden="1" customHeight="1">
      <c r="A938" s="7" t="s">
        <v>355</v>
      </c>
      <c r="B938" s="4">
        <v>3705012</v>
      </c>
      <c r="C938" s="3"/>
      <c r="D938" s="9" t="s">
        <v>160</v>
      </c>
      <c r="E938" s="4">
        <v>16</v>
      </c>
      <c r="F938" s="10"/>
      <c r="G938" s="3">
        <f>0.83*F938</f>
        <v>0</v>
      </c>
      <c r="H938" s="3">
        <f>0.003399805*F938</f>
        <v>0</v>
      </c>
      <c r="I938" s="3"/>
      <c r="J938" s="3" t="s">
        <v>299</v>
      </c>
    </row>
    <row r="939" spans="1:10" ht="46.9" hidden="1" customHeight="1">
      <c r="A939" s="7" t="s">
        <v>355</v>
      </c>
      <c r="B939" s="4">
        <v>3705013</v>
      </c>
      <c r="C939" s="3"/>
      <c r="D939" s="9" t="s">
        <v>161</v>
      </c>
      <c r="E939" s="4">
        <v>20</v>
      </c>
      <c r="F939" s="10"/>
      <c r="G939" s="3">
        <f>0.51*F939</f>
        <v>0</v>
      </c>
      <c r="H939" s="3">
        <f>0.00320131*F939</f>
        <v>0</v>
      </c>
      <c r="I939" s="3"/>
      <c r="J939" s="3" t="s">
        <v>299</v>
      </c>
    </row>
    <row r="940" spans="1:10" ht="46.9" hidden="1" customHeight="1">
      <c r="A940" s="7" t="s">
        <v>355</v>
      </c>
      <c r="B940" s="4">
        <v>3705014</v>
      </c>
      <c r="C940" s="3"/>
      <c r="D940" s="9" t="s">
        <v>162</v>
      </c>
      <c r="E940" s="4">
        <v>16</v>
      </c>
      <c r="F940" s="10"/>
      <c r="G940" s="3">
        <f>0.92*F940</f>
        <v>0</v>
      </c>
      <c r="H940" s="3">
        <f>0.003872813*F940</f>
        <v>0</v>
      </c>
      <c r="I940" s="3"/>
      <c r="J940" s="3" t="s">
        <v>299</v>
      </c>
    </row>
    <row r="941" spans="1:10" ht="46.9" hidden="1" customHeight="1">
      <c r="A941" s="7" t="s">
        <v>355</v>
      </c>
      <c r="B941" s="4">
        <v>3705022</v>
      </c>
      <c r="C941" s="3"/>
      <c r="D941" s="9" t="s">
        <v>163</v>
      </c>
      <c r="E941" s="4">
        <v>25</v>
      </c>
      <c r="F941" s="10"/>
      <c r="G941" s="3">
        <f>0.44*F941</f>
        <v>0</v>
      </c>
      <c r="H941" s="3">
        <f>0.0018975*F941</f>
        <v>0</v>
      </c>
      <c r="I941" s="3"/>
      <c r="J941" s="3" t="s">
        <v>299</v>
      </c>
    </row>
    <row r="942" spans="1:10" ht="46.9" hidden="1" customHeight="1">
      <c r="A942" s="7" t="s">
        <v>355</v>
      </c>
      <c r="B942" s="4">
        <v>3705100</v>
      </c>
      <c r="C942" s="3"/>
      <c r="D942" s="9" t="s">
        <v>164</v>
      </c>
      <c r="E942" s="4">
        <v>4</v>
      </c>
      <c r="F942" s="10"/>
      <c r="G942" s="3">
        <f>2.05*F942</f>
        <v>0</v>
      </c>
      <c r="H942" s="3">
        <f>0.01321875*F942</f>
        <v>0</v>
      </c>
      <c r="I942" s="3"/>
      <c r="J942" s="3" t="s">
        <v>299</v>
      </c>
    </row>
    <row r="943" spans="1:10" ht="46.9" hidden="1" customHeight="1">
      <c r="A943" s="7" t="s">
        <v>355</v>
      </c>
      <c r="B943" s="4">
        <v>3705101</v>
      </c>
      <c r="C943" s="3"/>
      <c r="D943" s="9" t="s">
        <v>165</v>
      </c>
      <c r="E943" s="4">
        <v>24</v>
      </c>
      <c r="F943" s="10"/>
      <c r="G943" s="3">
        <f>0.44*F943</f>
        <v>0</v>
      </c>
      <c r="H943" s="3">
        <f>0.001235297*F943</f>
        <v>0</v>
      </c>
      <c r="I943" s="3"/>
      <c r="J943" s="3" t="s">
        <v>299</v>
      </c>
    </row>
    <row r="944" spans="1:10" ht="46.9" hidden="1" customHeight="1">
      <c r="A944" s="7" t="s">
        <v>355</v>
      </c>
      <c r="B944" s="4">
        <v>3705102</v>
      </c>
      <c r="C944" s="3"/>
      <c r="D944" s="9" t="s">
        <v>166</v>
      </c>
      <c r="E944" s="4">
        <v>18</v>
      </c>
      <c r="F944" s="10"/>
      <c r="G944" s="3">
        <f>0.78*F944</f>
        <v>0</v>
      </c>
      <c r="H944" s="3">
        <f>0.002237778*F944</f>
        <v>0</v>
      </c>
      <c r="I944" s="3"/>
      <c r="J944" s="3" t="s">
        <v>299</v>
      </c>
    </row>
    <row r="945" spans="1:10" ht="46.9" hidden="1" customHeight="1">
      <c r="A945" s="7" t="s">
        <v>355</v>
      </c>
      <c r="B945" s="4">
        <v>3800002</v>
      </c>
      <c r="C945" s="3"/>
      <c r="D945" s="9" t="s">
        <v>167</v>
      </c>
      <c r="E945" s="4">
        <v>12</v>
      </c>
      <c r="F945" s="10"/>
      <c r="G945" s="3">
        <f>0.76*F945</f>
        <v>0</v>
      </c>
      <c r="H945" s="3">
        <f>0.002886542*F945</f>
        <v>0</v>
      </c>
      <c r="I945" s="3"/>
      <c r="J945" s="3" t="s">
        <v>299</v>
      </c>
    </row>
    <row r="946" spans="1:10" ht="46.9" hidden="1" customHeight="1">
      <c r="A946" s="7" t="s">
        <v>360</v>
      </c>
      <c r="B946" s="4">
        <v>3800003</v>
      </c>
      <c r="C946" s="3"/>
      <c r="D946" s="9" t="s">
        <v>168</v>
      </c>
      <c r="E946" s="4">
        <v>12</v>
      </c>
      <c r="F946" s="10"/>
      <c r="G946" s="3">
        <f>0.64*F946</f>
        <v>0</v>
      </c>
      <c r="H946" s="3">
        <f>0.002982354*F946</f>
        <v>0</v>
      </c>
      <c r="I946" s="3"/>
      <c r="J946" s="3" t="s">
        <v>299</v>
      </c>
    </row>
    <row r="947" spans="1:10" ht="46.9" hidden="1" customHeight="1">
      <c r="A947" s="7" t="s">
        <v>360</v>
      </c>
      <c r="B947" s="4">
        <v>3800004</v>
      </c>
      <c r="C947" s="3"/>
      <c r="D947" s="9" t="s">
        <v>169</v>
      </c>
      <c r="E947" s="4">
        <v>12</v>
      </c>
      <c r="F947" s="10"/>
      <c r="G947" s="3">
        <f>0.44*F947</f>
        <v>0</v>
      </c>
      <c r="H947" s="3">
        <f>0.002084063*F947</f>
        <v>0</v>
      </c>
      <c r="I947" s="3"/>
      <c r="J947" s="3" t="s">
        <v>299</v>
      </c>
    </row>
    <row r="948" spans="1:10" ht="46.9" hidden="1" customHeight="1">
      <c r="A948" s="7" t="s">
        <v>355</v>
      </c>
      <c r="B948" s="4">
        <v>3800011</v>
      </c>
      <c r="C948" s="3"/>
      <c r="D948" s="9" t="s">
        <v>170</v>
      </c>
      <c r="E948" s="4">
        <v>8</v>
      </c>
      <c r="F948" s="10"/>
      <c r="G948" s="3">
        <f>1.11*F948</f>
        <v>0</v>
      </c>
      <c r="H948" s="3">
        <f>0.007882875*F948</f>
        <v>0</v>
      </c>
      <c r="I948" s="3"/>
      <c r="J948" s="3" t="s">
        <v>299</v>
      </c>
    </row>
    <row r="949" spans="1:10" ht="46.9" hidden="1" customHeight="1">
      <c r="A949" s="7" t="s">
        <v>355</v>
      </c>
      <c r="B949" s="4">
        <v>3800012</v>
      </c>
      <c r="C949" s="3"/>
      <c r="D949" s="9" t="s">
        <v>171</v>
      </c>
      <c r="E949" s="4">
        <v>12</v>
      </c>
      <c r="F949" s="10"/>
      <c r="G949" s="3">
        <f>0.76*F949</f>
        <v>0</v>
      </c>
      <c r="H949" s="3">
        <f>0.002926083*F949</f>
        <v>0</v>
      </c>
      <c r="I949" s="3"/>
      <c r="J949" s="3" t="s">
        <v>299</v>
      </c>
    </row>
    <row r="950" spans="1:10" ht="46.9" hidden="1" customHeight="1">
      <c r="A950" s="7" t="s">
        <v>355</v>
      </c>
      <c r="B950" s="4">
        <v>3800014</v>
      </c>
      <c r="C950" s="3"/>
      <c r="D950" s="9" t="s">
        <v>172</v>
      </c>
      <c r="E950" s="4">
        <v>12</v>
      </c>
      <c r="F950" s="10"/>
      <c r="G950" s="3">
        <f>0.9*F950</f>
        <v>0</v>
      </c>
      <c r="H950" s="3">
        <f>0.003723125*F950</f>
        <v>0</v>
      </c>
      <c r="I950" s="3"/>
      <c r="J950" s="3" t="s">
        <v>299</v>
      </c>
    </row>
    <row r="951" spans="1:10" ht="46.9" hidden="1" customHeight="1">
      <c r="A951" s="7" t="s">
        <v>360</v>
      </c>
      <c r="B951" s="4">
        <v>1691046</v>
      </c>
      <c r="C951" s="3"/>
      <c r="D951" s="9" t="s">
        <v>173</v>
      </c>
      <c r="E951" s="4">
        <v>4</v>
      </c>
      <c r="F951" s="10"/>
      <c r="G951" s="3">
        <f>1.85*F951</f>
        <v>0</v>
      </c>
      <c r="H951" s="3">
        <f>0.010053375*F951</f>
        <v>0</v>
      </c>
      <c r="I951" s="3"/>
      <c r="J951" s="3" t="s">
        <v>299</v>
      </c>
    </row>
    <row r="952" spans="1:10" ht="46.9" hidden="1" customHeight="1">
      <c r="A952" s="7" t="s">
        <v>360</v>
      </c>
      <c r="B952" s="4">
        <v>1691053</v>
      </c>
      <c r="C952" s="3"/>
      <c r="D952" s="9" t="s">
        <v>174</v>
      </c>
      <c r="E952" s="4">
        <v>4</v>
      </c>
      <c r="F952" s="10"/>
      <c r="G952" s="3">
        <f>2.64*F952</f>
        <v>0</v>
      </c>
      <c r="H952" s="3">
        <f>0.016309875*F952</f>
        <v>0</v>
      </c>
      <c r="I952" s="3"/>
      <c r="J952" s="3" t="s">
        <v>299</v>
      </c>
    </row>
    <row r="953" spans="1:10" ht="46.9" hidden="1" customHeight="1">
      <c r="A953" s="7" t="s">
        <v>355</v>
      </c>
      <c r="B953" s="4">
        <v>4490074</v>
      </c>
      <c r="C953" s="3"/>
      <c r="D953" s="9" t="s">
        <v>175</v>
      </c>
      <c r="E953" s="4">
        <v>6</v>
      </c>
      <c r="F953" s="10"/>
      <c r="G953" s="3">
        <f>2.88*F953</f>
        <v>0</v>
      </c>
      <c r="H953" s="3">
        <f>0.0103615*F953</f>
        <v>0</v>
      </c>
      <c r="I953" s="3"/>
      <c r="J953" s="3" t="s">
        <v>299</v>
      </c>
    </row>
    <row r="954" spans="1:10" ht="46.9" customHeight="1">
      <c r="A954" s="7" t="s">
        <v>355</v>
      </c>
      <c r="B954" s="4">
        <v>8500249</v>
      </c>
      <c r="C954" s="3"/>
      <c r="D954" s="9" t="s">
        <v>176</v>
      </c>
      <c r="E954" s="4">
        <v>3</v>
      </c>
      <c r="F954" s="10">
        <v>1</v>
      </c>
      <c r="G954" s="3">
        <f>5.17*F954</f>
        <v>5.17</v>
      </c>
      <c r="H954" s="3">
        <f>0.007744*F954</f>
        <v>7.744E-3</v>
      </c>
      <c r="I954" s="3"/>
      <c r="J954" s="3" t="s">
        <v>299</v>
      </c>
    </row>
    <row r="955" spans="1:10" ht="18.75" hidden="1">
      <c r="A955" s="6"/>
      <c r="B955" s="19" t="s">
        <v>177</v>
      </c>
      <c r="C955" s="20"/>
      <c r="D955" s="20"/>
      <c r="E955" s="20"/>
      <c r="F955" s="20"/>
      <c r="G955" s="20"/>
      <c r="H955" s="20"/>
      <c r="I955" s="20"/>
      <c r="J955" s="21"/>
    </row>
    <row r="956" spans="1:10" ht="46.9" hidden="1" customHeight="1">
      <c r="A956" s="7" t="s">
        <v>355</v>
      </c>
      <c r="B956" s="4">
        <v>1697001</v>
      </c>
      <c r="C956" s="3"/>
      <c r="D956" s="9" t="s">
        <v>178</v>
      </c>
      <c r="E956" s="4">
        <v>4</v>
      </c>
      <c r="F956" s="10"/>
      <c r="G956" s="3">
        <f>2.93*F956</f>
        <v>0</v>
      </c>
      <c r="H956" s="3">
        <f>0.011475*F956</f>
        <v>0</v>
      </c>
      <c r="I956" s="3"/>
      <c r="J956" s="3" t="s">
        <v>299</v>
      </c>
    </row>
    <row r="957" spans="1:10" ht="46.9" hidden="1" customHeight="1">
      <c r="A957" s="7" t="s">
        <v>355</v>
      </c>
      <c r="B957" s="4">
        <v>1697002</v>
      </c>
      <c r="C957" s="3"/>
      <c r="D957" s="9" t="s">
        <v>179</v>
      </c>
      <c r="E957" s="4">
        <v>6</v>
      </c>
      <c r="F957" s="10"/>
      <c r="G957" s="3">
        <f>2.2*F957</f>
        <v>0</v>
      </c>
      <c r="H957" s="3">
        <f>0.008157333*F957</f>
        <v>0</v>
      </c>
      <c r="I957" s="3"/>
      <c r="J957" s="3" t="s">
        <v>299</v>
      </c>
    </row>
    <row r="958" spans="1:10" ht="46.9" hidden="1" customHeight="1">
      <c r="A958" s="7" t="s">
        <v>355</v>
      </c>
      <c r="B958" s="4">
        <v>1697003</v>
      </c>
      <c r="C958" s="3"/>
      <c r="D958" s="9" t="s">
        <v>180</v>
      </c>
      <c r="E958" s="4">
        <v>8</v>
      </c>
      <c r="F958" s="10"/>
      <c r="G958" s="3">
        <f>1.28*F958</f>
        <v>0</v>
      </c>
      <c r="H958" s="3">
        <f>0.003136*F958</f>
        <v>0</v>
      </c>
      <c r="I958" s="3"/>
      <c r="J958" s="3" t="s">
        <v>299</v>
      </c>
    </row>
    <row r="959" spans="1:10" ht="46.9" hidden="1" customHeight="1">
      <c r="A959" s="7" t="s">
        <v>355</v>
      </c>
      <c r="B959" s="4">
        <v>1697004</v>
      </c>
      <c r="C959" s="3"/>
      <c r="D959" s="9" t="s">
        <v>181</v>
      </c>
      <c r="E959" s="4">
        <v>8</v>
      </c>
      <c r="F959" s="10"/>
      <c r="G959" s="3">
        <f>1.61*F959</f>
        <v>0</v>
      </c>
      <c r="H959" s="3">
        <f>0.00432*F959</f>
        <v>0</v>
      </c>
      <c r="I959" s="3"/>
      <c r="J959" s="3" t="s">
        <v>299</v>
      </c>
    </row>
    <row r="960" spans="1:10" ht="46.9" hidden="1" customHeight="1">
      <c r="A960" s="7" t="s">
        <v>355</v>
      </c>
      <c r="B960" s="4">
        <v>1697005</v>
      </c>
      <c r="C960" s="3"/>
      <c r="D960" s="9" t="s">
        <v>182</v>
      </c>
      <c r="E960" s="4">
        <v>12</v>
      </c>
      <c r="F960" s="10"/>
      <c r="G960" s="3">
        <f>0.98*F960</f>
        <v>0</v>
      </c>
      <c r="H960" s="3">
        <f>0.002773333*F960</f>
        <v>0</v>
      </c>
      <c r="I960" s="3"/>
      <c r="J960" s="3" t="s">
        <v>299</v>
      </c>
    </row>
    <row r="961" spans="1:10" ht="46.9" hidden="1" customHeight="1">
      <c r="A961" s="7" t="s">
        <v>355</v>
      </c>
      <c r="B961" s="4">
        <v>1697006</v>
      </c>
      <c r="C961" s="3"/>
      <c r="D961" s="9" t="s">
        <v>183</v>
      </c>
      <c r="E961" s="4">
        <v>12</v>
      </c>
      <c r="F961" s="10"/>
      <c r="G961" s="3">
        <f>0.87*F961</f>
        <v>0</v>
      </c>
      <c r="H961" s="3">
        <f>0.002346667*F961</f>
        <v>0</v>
      </c>
      <c r="I961" s="3"/>
      <c r="J961" s="3" t="s">
        <v>299</v>
      </c>
    </row>
    <row r="962" spans="1:10" ht="46.9" hidden="1" customHeight="1">
      <c r="A962" s="7" t="s">
        <v>355</v>
      </c>
      <c r="B962" s="4">
        <v>1697007</v>
      </c>
      <c r="C962" s="3"/>
      <c r="D962" s="9" t="s">
        <v>184</v>
      </c>
      <c r="E962" s="4">
        <v>6</v>
      </c>
      <c r="F962" s="10"/>
      <c r="G962" s="3">
        <f>2.12*F962</f>
        <v>0</v>
      </c>
      <c r="H962" s="3">
        <f>0.0076*F962</f>
        <v>0</v>
      </c>
      <c r="I962" s="3"/>
      <c r="J962" s="3" t="s">
        <v>299</v>
      </c>
    </row>
    <row r="963" spans="1:10" ht="46.9" hidden="1" customHeight="1">
      <c r="A963" s="7" t="s">
        <v>355</v>
      </c>
      <c r="B963" s="4">
        <v>1697008</v>
      </c>
      <c r="C963" s="3"/>
      <c r="D963" s="9" t="s">
        <v>185</v>
      </c>
      <c r="E963" s="4">
        <v>8</v>
      </c>
      <c r="F963" s="10"/>
      <c r="G963" s="3">
        <f>1.2*F963</f>
        <v>0</v>
      </c>
      <c r="H963" s="3">
        <f>0.00456475*F963</f>
        <v>0</v>
      </c>
      <c r="I963" s="3"/>
      <c r="J963" s="3" t="s">
        <v>299</v>
      </c>
    </row>
    <row r="964" spans="1:10" ht="46.9" hidden="1" customHeight="1">
      <c r="A964" s="7" t="s">
        <v>355</v>
      </c>
      <c r="B964" s="4">
        <v>1697009</v>
      </c>
      <c r="C964" s="3"/>
      <c r="D964" s="9" t="s">
        <v>186</v>
      </c>
      <c r="E964" s="4">
        <v>6</v>
      </c>
      <c r="F964" s="10"/>
      <c r="G964" s="3">
        <f>2.17*F964</f>
        <v>0</v>
      </c>
      <c r="H964" s="3">
        <f>0.0081*F964</f>
        <v>0</v>
      </c>
      <c r="I964" s="3"/>
      <c r="J964" s="3" t="s">
        <v>299</v>
      </c>
    </row>
    <row r="965" spans="1:10" ht="46.9" hidden="1" customHeight="1">
      <c r="A965" s="7" t="s">
        <v>355</v>
      </c>
      <c r="B965" s="4">
        <v>1697010</v>
      </c>
      <c r="C965" s="3"/>
      <c r="D965" s="9" t="s">
        <v>187</v>
      </c>
      <c r="E965" s="4">
        <v>8</v>
      </c>
      <c r="F965" s="10"/>
      <c r="G965" s="3">
        <f>1.15*F965</f>
        <v>0</v>
      </c>
      <c r="H965" s="3">
        <f>0.00450225*F965</f>
        <v>0</v>
      </c>
      <c r="I965" s="3"/>
      <c r="J965" s="3" t="s">
        <v>299</v>
      </c>
    </row>
    <row r="966" spans="1:10" ht="46.9" hidden="1" customHeight="1">
      <c r="A966" s="7" t="s">
        <v>355</v>
      </c>
      <c r="B966" s="4">
        <v>1697011</v>
      </c>
      <c r="C966" s="3"/>
      <c r="D966" s="9" t="s">
        <v>188</v>
      </c>
      <c r="E966" s="4">
        <v>8</v>
      </c>
      <c r="F966" s="10"/>
      <c r="G966" s="3">
        <f>1.38*F966</f>
        <v>0</v>
      </c>
      <c r="H966" s="3">
        <f>0.006435*F966</f>
        <v>0</v>
      </c>
      <c r="I966" s="3"/>
      <c r="J966" s="3" t="s">
        <v>299</v>
      </c>
    </row>
    <row r="967" spans="1:10" ht="46.9" hidden="1" customHeight="1">
      <c r="A967" s="7" t="s">
        <v>355</v>
      </c>
      <c r="B967" s="4">
        <v>1697012</v>
      </c>
      <c r="C967" s="3"/>
      <c r="D967" s="9" t="s">
        <v>189</v>
      </c>
      <c r="E967" s="4">
        <v>8</v>
      </c>
      <c r="F967" s="10"/>
      <c r="G967" s="3">
        <f>1.16*F967</f>
        <v>0</v>
      </c>
      <c r="H967" s="3">
        <f>0.0050025*F967</f>
        <v>0</v>
      </c>
      <c r="I967" s="3"/>
      <c r="J967" s="3" t="s">
        <v>299</v>
      </c>
    </row>
    <row r="968" spans="1:10" ht="46.9" hidden="1" customHeight="1">
      <c r="A968" s="7" t="s">
        <v>360</v>
      </c>
      <c r="B968" s="4">
        <v>1695051</v>
      </c>
      <c r="C968" s="3"/>
      <c r="D968" s="9" t="s">
        <v>190</v>
      </c>
      <c r="E968" s="4">
        <v>8</v>
      </c>
      <c r="F968" s="10"/>
      <c r="G968" s="3">
        <f>1.71*F968</f>
        <v>0</v>
      </c>
      <c r="H968" s="3">
        <f>0.006944*F968</f>
        <v>0</v>
      </c>
      <c r="I968" s="3"/>
      <c r="J968" s="3" t="s">
        <v>299</v>
      </c>
    </row>
    <row r="969" spans="1:10" ht="46.9" customHeight="1">
      <c r="A969" s="7" t="s">
        <v>360</v>
      </c>
      <c r="B969" s="4">
        <v>1695075</v>
      </c>
      <c r="C969" s="3"/>
      <c r="D969" s="9" t="s">
        <v>191</v>
      </c>
      <c r="E969" s="4">
        <v>8</v>
      </c>
      <c r="F969" s="10">
        <v>2</v>
      </c>
      <c r="G969" s="3">
        <f>1.18*F969</f>
        <v>2.36</v>
      </c>
      <c r="H969" s="3">
        <f>0.004707094*F969</f>
        <v>9.4141880000000004E-3</v>
      </c>
      <c r="I969" s="3"/>
      <c r="J969" s="3" t="s">
        <v>299</v>
      </c>
    </row>
    <row r="970" spans="1:10" ht="46.9" hidden="1" customHeight="1">
      <c r="A970" s="7" t="s">
        <v>360</v>
      </c>
      <c r="B970" s="4">
        <v>1695099</v>
      </c>
      <c r="C970" s="3"/>
      <c r="D970" s="9" t="s">
        <v>192</v>
      </c>
      <c r="E970" s="4">
        <v>2</v>
      </c>
      <c r="F970" s="10"/>
      <c r="G970" s="3">
        <f>4.14*F970</f>
        <v>0</v>
      </c>
      <c r="H970" s="3">
        <f>0.018375*F970</f>
        <v>0</v>
      </c>
      <c r="I970" s="3"/>
      <c r="J970" s="3" t="s">
        <v>299</v>
      </c>
    </row>
    <row r="971" spans="1:10" ht="46.9" customHeight="1">
      <c r="A971" s="7" t="s">
        <v>360</v>
      </c>
      <c r="B971" s="4">
        <v>1695105</v>
      </c>
      <c r="C971" s="3"/>
      <c r="D971" s="9" t="s">
        <v>193</v>
      </c>
      <c r="E971" s="4">
        <v>8</v>
      </c>
      <c r="F971" s="10">
        <v>1</v>
      </c>
      <c r="G971" s="3">
        <f>1.62*F971</f>
        <v>1.62</v>
      </c>
      <c r="H971" s="3">
        <f>0.006085625*F971</f>
        <v>6.0856249999999999E-3</v>
      </c>
      <c r="I971" s="3"/>
      <c r="J971" s="3" t="s">
        <v>299</v>
      </c>
    </row>
    <row r="972" spans="1:10" ht="46.9" hidden="1" customHeight="1">
      <c r="A972" s="7" t="s">
        <v>360</v>
      </c>
      <c r="B972" s="4">
        <v>1695136</v>
      </c>
      <c r="C972" s="3"/>
      <c r="D972" s="9" t="s">
        <v>194</v>
      </c>
      <c r="E972" s="4">
        <v>4</v>
      </c>
      <c r="F972" s="10"/>
      <c r="G972" s="3">
        <f>3.07*F972</f>
        <v>0</v>
      </c>
      <c r="H972" s="3">
        <f>0.009529688*F972</f>
        <v>0</v>
      </c>
      <c r="I972" s="3"/>
      <c r="J972" s="3" t="s">
        <v>299</v>
      </c>
    </row>
    <row r="973" spans="1:10" ht="46.9" hidden="1" customHeight="1">
      <c r="A973" s="7" t="s">
        <v>355</v>
      </c>
      <c r="B973" s="4">
        <v>3900050</v>
      </c>
      <c r="C973" s="3"/>
      <c r="D973" s="9" t="s">
        <v>195</v>
      </c>
      <c r="E973" s="4">
        <v>4</v>
      </c>
      <c r="F973" s="10"/>
      <c r="G973" s="3">
        <f>2.3*F973</f>
        <v>0</v>
      </c>
      <c r="H973" s="3">
        <f>0.007430156*F973</f>
        <v>0</v>
      </c>
      <c r="I973" s="3"/>
      <c r="J973" s="3" t="s">
        <v>299</v>
      </c>
    </row>
    <row r="974" spans="1:10" ht="46.9" customHeight="1">
      <c r="A974" s="7" t="s">
        <v>355</v>
      </c>
      <c r="B974" s="4">
        <v>3900051</v>
      </c>
      <c r="C974" s="3"/>
      <c r="D974" s="9" t="s">
        <v>196</v>
      </c>
      <c r="E974" s="4">
        <v>4</v>
      </c>
      <c r="F974" s="10">
        <v>1</v>
      </c>
      <c r="G974" s="3">
        <f>1.61*F974</f>
        <v>1.61</v>
      </c>
      <c r="H974" s="3">
        <f>0.006144531*F974</f>
        <v>6.144531E-3</v>
      </c>
      <c r="I974" s="3"/>
      <c r="J974" s="3" t="s">
        <v>299</v>
      </c>
    </row>
    <row r="975" spans="1:10" ht="46.9" hidden="1" customHeight="1">
      <c r="A975" s="7" t="s">
        <v>355</v>
      </c>
      <c r="B975" s="4">
        <v>3900052</v>
      </c>
      <c r="C975" s="3"/>
      <c r="D975" s="9" t="s">
        <v>197</v>
      </c>
      <c r="E975" s="4">
        <v>2</v>
      </c>
      <c r="F975" s="10"/>
      <c r="G975" s="3">
        <f>1.68*F975</f>
        <v>0</v>
      </c>
      <c r="H975" s="3">
        <f>0.020828125*F975</f>
        <v>0</v>
      </c>
      <c r="I975" s="3"/>
      <c r="J975" s="3" t="s">
        <v>299</v>
      </c>
    </row>
    <row r="976" spans="1:10" ht="46.9" hidden="1" customHeight="1">
      <c r="A976" s="7" t="s">
        <v>355</v>
      </c>
      <c r="B976" s="4">
        <v>3950035</v>
      </c>
      <c r="C976" s="3"/>
      <c r="D976" s="9" t="s">
        <v>198</v>
      </c>
      <c r="E976" s="4">
        <v>5</v>
      </c>
      <c r="F976" s="10"/>
      <c r="G976" s="3">
        <f>3.5*F976</f>
        <v>0</v>
      </c>
      <c r="H976" s="3">
        <f>0.014416*F976</f>
        <v>0</v>
      </c>
      <c r="I976" s="3"/>
      <c r="J976" s="3" t="s">
        <v>299</v>
      </c>
    </row>
    <row r="977" spans="1:10" ht="46.9" hidden="1" customHeight="1">
      <c r="A977" s="7" t="s">
        <v>360</v>
      </c>
      <c r="B977" s="4">
        <v>4490274</v>
      </c>
      <c r="C977" s="3"/>
      <c r="D977" s="9" t="s">
        <v>199</v>
      </c>
      <c r="E977" s="4">
        <v>6</v>
      </c>
      <c r="F977" s="10"/>
      <c r="G977" s="3">
        <f>1.1*F977</f>
        <v>0</v>
      </c>
      <c r="H977" s="3">
        <f>0.003024333*F977</f>
        <v>0</v>
      </c>
      <c r="I977" s="3"/>
      <c r="J977" s="3" t="s">
        <v>299</v>
      </c>
    </row>
    <row r="978" spans="1:10" ht="46.9" customHeight="1">
      <c r="A978" s="7" t="s">
        <v>360</v>
      </c>
      <c r="B978" s="4">
        <v>4490275</v>
      </c>
      <c r="C978" s="3"/>
      <c r="D978" s="9" t="s">
        <v>200</v>
      </c>
      <c r="E978" s="4">
        <v>6</v>
      </c>
      <c r="F978" s="10">
        <v>1</v>
      </c>
      <c r="G978" s="3">
        <f>1.65*F978</f>
        <v>1.65</v>
      </c>
      <c r="H978" s="3">
        <f>0.0043044*F978</f>
        <v>4.3043999999999999E-3</v>
      </c>
      <c r="I978" s="3"/>
      <c r="J978" s="3" t="s">
        <v>299</v>
      </c>
    </row>
    <row r="979" spans="1:10" ht="46.9" customHeight="1">
      <c r="A979" s="7" t="s">
        <v>360</v>
      </c>
      <c r="B979" s="4">
        <v>4490277</v>
      </c>
      <c r="C979" s="3"/>
      <c r="D979" s="9" t="s">
        <v>201</v>
      </c>
      <c r="E979" s="4">
        <v>4</v>
      </c>
      <c r="F979" s="10">
        <v>1</v>
      </c>
      <c r="G979" s="3">
        <f>2.29*F979</f>
        <v>2.29</v>
      </c>
      <c r="H979" s="3">
        <f>0.006702094*F979</f>
        <v>6.7020939999999996E-3</v>
      </c>
      <c r="I979" s="3"/>
      <c r="J979" s="3" t="s">
        <v>299</v>
      </c>
    </row>
    <row r="980" spans="1:10" ht="46.9" hidden="1" customHeight="1">
      <c r="A980" s="7" t="s">
        <v>360</v>
      </c>
      <c r="B980" s="4">
        <v>4490279</v>
      </c>
      <c r="C980" s="3"/>
      <c r="D980" s="9" t="s">
        <v>202</v>
      </c>
      <c r="E980" s="4">
        <v>6</v>
      </c>
      <c r="F980" s="10"/>
      <c r="G980" s="3">
        <f>1.1*F980</f>
        <v>0</v>
      </c>
      <c r="H980" s="3">
        <f>0.003570417*F980</f>
        <v>0</v>
      </c>
      <c r="I980" s="3"/>
      <c r="J980" s="3" t="s">
        <v>299</v>
      </c>
    </row>
    <row r="981" spans="1:10" ht="46.9" hidden="1" customHeight="1">
      <c r="A981" s="7" t="s">
        <v>360</v>
      </c>
      <c r="B981" s="4">
        <v>4490280</v>
      </c>
      <c r="C981" s="3"/>
      <c r="D981" s="9" t="s">
        <v>203</v>
      </c>
      <c r="E981" s="4">
        <v>6</v>
      </c>
      <c r="F981" s="10"/>
      <c r="G981" s="3">
        <f>1.31*F981</f>
        <v>0</v>
      </c>
      <c r="H981" s="3">
        <f>0.004806042*F981</f>
        <v>0</v>
      </c>
      <c r="I981" s="3"/>
      <c r="J981" s="3" t="s">
        <v>299</v>
      </c>
    </row>
    <row r="982" spans="1:10" ht="46.9" hidden="1" customHeight="1">
      <c r="A982" s="7" t="s">
        <v>355</v>
      </c>
      <c r="B982" s="4">
        <v>4490281</v>
      </c>
      <c r="C982" s="3"/>
      <c r="D982" s="9" t="s">
        <v>204</v>
      </c>
      <c r="E982" s="4">
        <v>6</v>
      </c>
      <c r="F982" s="10"/>
      <c r="G982" s="3">
        <f>0.54*F982</f>
        <v>0</v>
      </c>
      <c r="H982" s="3">
        <f>0.001895833*F982</f>
        <v>0</v>
      </c>
      <c r="I982" s="3"/>
      <c r="J982" s="3" t="s">
        <v>299</v>
      </c>
    </row>
    <row r="983" spans="1:10" ht="46.9" hidden="1" customHeight="1">
      <c r="A983" s="7" t="s">
        <v>360</v>
      </c>
      <c r="B983" s="4">
        <v>4490282</v>
      </c>
      <c r="C983" s="3"/>
      <c r="D983" s="9" t="s">
        <v>205</v>
      </c>
      <c r="E983" s="4">
        <v>6</v>
      </c>
      <c r="F983" s="10"/>
      <c r="G983" s="3">
        <f>0.45*F983</f>
        <v>0</v>
      </c>
      <c r="H983" s="3">
        <f>0.0018634*F983</f>
        <v>0</v>
      </c>
      <c r="I983" s="3"/>
      <c r="J983" s="3" t="s">
        <v>299</v>
      </c>
    </row>
    <row r="984" spans="1:10" ht="46.9" hidden="1" customHeight="1">
      <c r="A984" s="7" t="s">
        <v>355</v>
      </c>
      <c r="B984" s="4">
        <v>4490284</v>
      </c>
      <c r="C984" s="3"/>
      <c r="D984" s="9" t="s">
        <v>206</v>
      </c>
      <c r="E984" s="4">
        <v>2</v>
      </c>
      <c r="F984" s="10"/>
      <c r="G984" s="3">
        <f>2.6*F984</f>
        <v>0</v>
      </c>
      <c r="H984" s="3">
        <f>0.0110515*F984</f>
        <v>0</v>
      </c>
      <c r="I984" s="3"/>
      <c r="J984" s="3" t="s">
        <v>299</v>
      </c>
    </row>
    <row r="985" spans="1:10" ht="18.75" hidden="1">
      <c r="A985" s="6"/>
      <c r="B985" s="19" t="s">
        <v>207</v>
      </c>
      <c r="C985" s="20"/>
      <c r="D985" s="20"/>
      <c r="E985" s="20"/>
      <c r="F985" s="20"/>
      <c r="G985" s="20"/>
      <c r="H985" s="20"/>
      <c r="I985" s="20"/>
      <c r="J985" s="21"/>
    </row>
    <row r="986" spans="1:10" ht="46.9" customHeight="1">
      <c r="A986" s="7" t="s">
        <v>360</v>
      </c>
      <c r="B986" s="4">
        <v>8500054</v>
      </c>
      <c r="C986" s="3"/>
      <c r="D986" s="9" t="s">
        <v>208</v>
      </c>
      <c r="E986" s="4">
        <v>12</v>
      </c>
      <c r="F986" s="10">
        <v>1</v>
      </c>
      <c r="G986" s="3">
        <f>0.73*F986</f>
        <v>0.73</v>
      </c>
      <c r="H986" s="3">
        <f>0.002476333*F986</f>
        <v>2.4763329999999998E-3</v>
      </c>
      <c r="I986" s="3"/>
      <c r="J986" s="3" t="s">
        <v>299</v>
      </c>
    </row>
    <row r="987" spans="1:10" ht="46.9" customHeight="1">
      <c r="A987" s="7" t="s">
        <v>360</v>
      </c>
      <c r="B987" s="4">
        <v>8500056</v>
      </c>
      <c r="C987" s="3"/>
      <c r="D987" s="9" t="s">
        <v>209</v>
      </c>
      <c r="E987" s="4">
        <v>6</v>
      </c>
      <c r="F987" s="10">
        <v>1</v>
      </c>
      <c r="G987" s="3">
        <f>1.68*F987</f>
        <v>1.68</v>
      </c>
      <c r="H987" s="3">
        <f>0.005772*F987</f>
        <v>5.7720000000000002E-3</v>
      </c>
      <c r="I987" s="3"/>
      <c r="J987" s="3" t="s">
        <v>299</v>
      </c>
    </row>
    <row r="988" spans="1:10" ht="46.9" hidden="1" customHeight="1">
      <c r="A988" s="7" t="s">
        <v>360</v>
      </c>
      <c r="B988" s="4">
        <v>8500063</v>
      </c>
      <c r="C988" s="3"/>
      <c r="D988" s="9" t="s">
        <v>210</v>
      </c>
      <c r="E988" s="4">
        <v>6</v>
      </c>
      <c r="F988" s="10"/>
      <c r="G988" s="3">
        <f>0*F988</f>
        <v>0</v>
      </c>
      <c r="H988" s="3">
        <f>0*F988</f>
        <v>0</v>
      </c>
      <c r="I988" s="3"/>
      <c r="J988" s="3" t="s">
        <v>299</v>
      </c>
    </row>
    <row r="989" spans="1:10" ht="18.75" hidden="1">
      <c r="A989" s="6"/>
      <c r="B989" s="19" t="s">
        <v>211</v>
      </c>
      <c r="C989" s="20"/>
      <c r="D989" s="20"/>
      <c r="E989" s="20"/>
      <c r="F989" s="20"/>
      <c r="G989" s="20"/>
      <c r="H989" s="20"/>
      <c r="I989" s="20"/>
      <c r="J989" s="21"/>
    </row>
    <row r="990" spans="1:10" ht="46.9" hidden="1" customHeight="1">
      <c r="A990" s="7" t="s">
        <v>360</v>
      </c>
      <c r="B990" s="4">
        <v>1100052</v>
      </c>
      <c r="C990" s="3"/>
      <c r="D990" s="9" t="s">
        <v>212</v>
      </c>
      <c r="E990" s="4">
        <v>4</v>
      </c>
      <c r="F990" s="10"/>
      <c r="G990" s="3">
        <f>1.68*F990</f>
        <v>0</v>
      </c>
      <c r="H990" s="3">
        <f>0.009455*F990</f>
        <v>0</v>
      </c>
      <c r="I990" s="3"/>
      <c r="J990" s="3" t="s">
        <v>299</v>
      </c>
    </row>
    <row r="991" spans="1:10" ht="46.9" hidden="1" customHeight="1">
      <c r="A991" s="7" t="s">
        <v>360</v>
      </c>
      <c r="B991" s="4">
        <v>1100057</v>
      </c>
      <c r="C991" s="3"/>
      <c r="D991" s="9" t="s">
        <v>213</v>
      </c>
      <c r="E991" s="4">
        <v>4</v>
      </c>
      <c r="F991" s="10"/>
      <c r="G991" s="3">
        <f>2.78*F991</f>
        <v>0</v>
      </c>
      <c r="H991" s="3">
        <f>0.0123525*F991</f>
        <v>0</v>
      </c>
      <c r="I991" s="3"/>
      <c r="J991" s="3" t="s">
        <v>299</v>
      </c>
    </row>
    <row r="992" spans="1:10" ht="46.9" hidden="1" customHeight="1">
      <c r="A992" s="7" t="s">
        <v>355</v>
      </c>
      <c r="B992" s="4">
        <v>1100054</v>
      </c>
      <c r="C992" s="3"/>
      <c r="D992" s="9" t="s">
        <v>214</v>
      </c>
      <c r="E992" s="4">
        <v>8</v>
      </c>
      <c r="F992" s="10"/>
      <c r="G992" s="3">
        <f>1*F992</f>
        <v>0</v>
      </c>
      <c r="H992" s="3">
        <f>0.006692813*F992</f>
        <v>0</v>
      </c>
      <c r="I992" s="3"/>
      <c r="J992" s="3" t="s">
        <v>299</v>
      </c>
    </row>
    <row r="993" spans="1:10" ht="46.9" hidden="1" customHeight="1">
      <c r="A993" s="7" t="s">
        <v>355</v>
      </c>
      <c r="B993" s="4">
        <v>1100055</v>
      </c>
      <c r="C993" s="3"/>
      <c r="D993" s="9" t="s">
        <v>215</v>
      </c>
      <c r="E993" s="4">
        <v>8</v>
      </c>
      <c r="F993" s="10"/>
      <c r="G993" s="3">
        <f>1.07*F993</f>
        <v>0</v>
      </c>
      <c r="H993" s="3">
        <f>0.006449438*F993</f>
        <v>0</v>
      </c>
      <c r="I993" s="3"/>
      <c r="J993" s="3" t="s">
        <v>299</v>
      </c>
    </row>
    <row r="994" spans="1:10" ht="46.9" hidden="1" customHeight="1">
      <c r="A994" s="7" t="s">
        <v>355</v>
      </c>
      <c r="B994" s="4">
        <v>1101856</v>
      </c>
      <c r="C994" s="3"/>
      <c r="D994" s="9" t="s">
        <v>216</v>
      </c>
      <c r="E994" s="4">
        <v>10</v>
      </c>
      <c r="F994" s="10"/>
      <c r="G994" s="3">
        <f>0.29*F994</f>
        <v>0</v>
      </c>
      <c r="H994" s="3">
        <f>0.0042532*F994</f>
        <v>0</v>
      </c>
      <c r="I994" s="3"/>
      <c r="J994" s="3" t="s">
        <v>299</v>
      </c>
    </row>
    <row r="995" spans="1:10" ht="46.9" hidden="1" customHeight="1">
      <c r="A995" s="7" t="s">
        <v>360</v>
      </c>
      <c r="B995" s="4">
        <v>1101858</v>
      </c>
      <c r="C995" s="3"/>
      <c r="D995" s="9" t="s">
        <v>217</v>
      </c>
      <c r="E995" s="4">
        <v>10</v>
      </c>
      <c r="F995" s="10"/>
      <c r="G995" s="3">
        <f>0.27*F995</f>
        <v>0</v>
      </c>
      <c r="H995" s="3">
        <f>0.00280665*F995</f>
        <v>0</v>
      </c>
      <c r="I995" s="3"/>
      <c r="J995" s="3" t="s">
        <v>299</v>
      </c>
    </row>
    <row r="996" spans="1:10" ht="46.9" hidden="1" customHeight="1">
      <c r="A996" s="7" t="s">
        <v>360</v>
      </c>
      <c r="B996" s="4">
        <v>1101859</v>
      </c>
      <c r="C996" s="3"/>
      <c r="D996" s="9" t="s">
        <v>218</v>
      </c>
      <c r="E996" s="4">
        <v>10</v>
      </c>
      <c r="F996" s="10"/>
      <c r="G996" s="3">
        <f>0.33*F996</f>
        <v>0</v>
      </c>
      <c r="H996" s="3">
        <f>0.0026894*F996</f>
        <v>0</v>
      </c>
      <c r="I996" s="3"/>
      <c r="J996" s="3" t="s">
        <v>299</v>
      </c>
    </row>
    <row r="997" spans="1:10" ht="46.9" hidden="1" customHeight="1">
      <c r="A997" s="7" t="s">
        <v>355</v>
      </c>
      <c r="B997" s="4">
        <v>1101860</v>
      </c>
      <c r="C997" s="3"/>
      <c r="D997" s="9" t="s">
        <v>219</v>
      </c>
      <c r="E997" s="4">
        <v>12</v>
      </c>
      <c r="F997" s="10"/>
      <c r="G997" s="3">
        <f>0.19*F997</f>
        <v>0</v>
      </c>
      <c r="H997" s="3">
        <f>0.00149625*F997</f>
        <v>0</v>
      </c>
      <c r="I997" s="3"/>
      <c r="J997" s="3" t="s">
        <v>299</v>
      </c>
    </row>
    <row r="998" spans="1:10" ht="46.9" hidden="1" customHeight="1">
      <c r="A998" s="7" t="s">
        <v>355</v>
      </c>
      <c r="B998" s="4">
        <v>1101862</v>
      </c>
      <c r="C998" s="3"/>
      <c r="D998" s="9" t="s">
        <v>220</v>
      </c>
      <c r="E998" s="4">
        <v>9</v>
      </c>
      <c r="F998" s="10"/>
      <c r="G998" s="3">
        <f>0.25*F998</f>
        <v>0</v>
      </c>
      <c r="H998" s="3">
        <f>0.0022275*F998</f>
        <v>0</v>
      </c>
      <c r="I998" s="3"/>
      <c r="J998" s="3" t="s">
        <v>299</v>
      </c>
    </row>
    <row r="999" spans="1:10" ht="46.9" hidden="1" customHeight="1">
      <c r="A999" s="7" t="s">
        <v>360</v>
      </c>
      <c r="B999" s="4">
        <v>1101863</v>
      </c>
      <c r="C999" s="3"/>
      <c r="D999" s="9" t="s">
        <v>221</v>
      </c>
      <c r="E999" s="4">
        <v>9</v>
      </c>
      <c r="F999" s="10"/>
      <c r="G999" s="3">
        <f>0.26*F999</f>
        <v>0</v>
      </c>
      <c r="H999" s="3">
        <f>0.005300556*F999</f>
        <v>0</v>
      </c>
      <c r="I999" s="3"/>
      <c r="J999" s="3" t="s">
        <v>299</v>
      </c>
    </row>
    <row r="1000" spans="1:10" ht="46.9" hidden="1" customHeight="1">
      <c r="A1000" s="7" t="s">
        <v>360</v>
      </c>
      <c r="B1000" s="4">
        <v>1101869</v>
      </c>
      <c r="C1000" s="3"/>
      <c r="D1000" s="9" t="s">
        <v>222</v>
      </c>
      <c r="E1000" s="4">
        <v>6</v>
      </c>
      <c r="F1000" s="10"/>
      <c r="G1000" s="3">
        <f>0.26*F1000</f>
        <v>0</v>
      </c>
      <c r="H1000" s="3">
        <f>0.006907667*F1000</f>
        <v>0</v>
      </c>
      <c r="I1000" s="3"/>
      <c r="J1000" s="3" t="s">
        <v>299</v>
      </c>
    </row>
    <row r="1001" spans="1:10" ht="46.9" hidden="1" customHeight="1">
      <c r="A1001" s="7" t="s">
        <v>355</v>
      </c>
      <c r="B1001" s="4">
        <v>3600534</v>
      </c>
      <c r="C1001" s="3"/>
      <c r="D1001" s="9" t="s">
        <v>223</v>
      </c>
      <c r="E1001" s="4">
        <v>6</v>
      </c>
      <c r="F1001" s="10"/>
      <c r="G1001" s="3">
        <f>1.15*F1001</f>
        <v>0</v>
      </c>
      <c r="H1001" s="3">
        <f>0.00228*F1001</f>
        <v>0</v>
      </c>
      <c r="I1001" s="3"/>
      <c r="J1001" s="3" t="s">
        <v>299</v>
      </c>
    </row>
    <row r="1002" spans="1:10" ht="46.9" hidden="1" customHeight="1">
      <c r="A1002" s="7" t="s">
        <v>355</v>
      </c>
      <c r="B1002" s="4">
        <v>3600620</v>
      </c>
      <c r="C1002" s="3"/>
      <c r="D1002" s="9" t="s">
        <v>224</v>
      </c>
      <c r="E1002" s="4">
        <v>6</v>
      </c>
      <c r="F1002" s="10"/>
      <c r="G1002" s="3">
        <f>0.63*F1002</f>
        <v>0</v>
      </c>
      <c r="H1002" s="3">
        <f>0.0023375*F1002</f>
        <v>0</v>
      </c>
      <c r="I1002" s="3"/>
      <c r="J1002" s="3" t="s">
        <v>299</v>
      </c>
    </row>
    <row r="1003" spans="1:10" ht="46.9" hidden="1" customHeight="1">
      <c r="A1003" s="7" t="s">
        <v>360</v>
      </c>
      <c r="B1003" s="4">
        <v>3600626</v>
      </c>
      <c r="C1003" s="3"/>
      <c r="D1003" s="9" t="s">
        <v>225</v>
      </c>
      <c r="E1003" s="4">
        <v>3</v>
      </c>
      <c r="F1003" s="10"/>
      <c r="G1003" s="3">
        <f>2.05*F1003</f>
        <v>0</v>
      </c>
      <c r="H1003" s="3">
        <f>0.018503333*F1003</f>
        <v>0</v>
      </c>
      <c r="I1003" s="3"/>
      <c r="J1003" s="3" t="s">
        <v>299</v>
      </c>
    </row>
    <row r="1004" spans="1:10" ht="46.9" hidden="1" customHeight="1">
      <c r="A1004" s="7" t="s">
        <v>360</v>
      </c>
      <c r="B1004" s="4">
        <v>3950027</v>
      </c>
      <c r="C1004" s="3"/>
      <c r="D1004" s="9" t="s">
        <v>226</v>
      </c>
      <c r="E1004" s="4">
        <v>5</v>
      </c>
      <c r="F1004" s="10"/>
      <c r="G1004" s="3">
        <f>0.83*F1004</f>
        <v>0</v>
      </c>
      <c r="H1004" s="3">
        <f>0.0031977*F1004</f>
        <v>0</v>
      </c>
      <c r="I1004" s="3"/>
      <c r="J1004" s="3" t="s">
        <v>299</v>
      </c>
    </row>
    <row r="1005" spans="1:10" ht="46.9" hidden="1" customHeight="1">
      <c r="A1005" s="7" t="s">
        <v>360</v>
      </c>
      <c r="B1005" s="4">
        <v>3950028</v>
      </c>
      <c r="C1005" s="3"/>
      <c r="D1005" s="9" t="s">
        <v>227</v>
      </c>
      <c r="E1005" s="4">
        <v>5</v>
      </c>
      <c r="F1005" s="10"/>
      <c r="G1005" s="3">
        <f>0.53*F1005</f>
        <v>0</v>
      </c>
      <c r="H1005" s="3">
        <f>0.002849*F1005</f>
        <v>0</v>
      </c>
      <c r="I1005" s="3"/>
      <c r="J1005" s="3" t="s">
        <v>299</v>
      </c>
    </row>
    <row r="1006" spans="1:10" ht="18.75" hidden="1">
      <c r="A1006" s="6"/>
      <c r="B1006" s="19" t="s">
        <v>228</v>
      </c>
      <c r="C1006" s="20"/>
      <c r="D1006" s="20"/>
      <c r="E1006" s="20"/>
      <c r="F1006" s="20"/>
      <c r="G1006" s="20"/>
      <c r="H1006" s="20"/>
      <c r="I1006" s="20"/>
      <c r="J1006" s="21"/>
    </row>
    <row r="1007" spans="1:10" ht="46.9" hidden="1" customHeight="1">
      <c r="A1007" s="7" t="s">
        <v>355</v>
      </c>
      <c r="B1007" s="4">
        <v>1701600</v>
      </c>
      <c r="C1007" s="3"/>
      <c r="D1007" s="9" t="s">
        <v>229</v>
      </c>
      <c r="E1007" s="4">
        <v>8</v>
      </c>
      <c r="F1007" s="10"/>
      <c r="G1007" s="3">
        <f>1.22*F1007</f>
        <v>0</v>
      </c>
      <c r="H1007" s="3">
        <f>0.01008*F1007</f>
        <v>0</v>
      </c>
      <c r="I1007" s="3"/>
      <c r="J1007" s="3" t="s">
        <v>299</v>
      </c>
    </row>
    <row r="1008" spans="1:10" ht="46.9" hidden="1" customHeight="1">
      <c r="A1008" s="7" t="s">
        <v>360</v>
      </c>
      <c r="B1008" s="4">
        <v>1701601</v>
      </c>
      <c r="C1008" s="3"/>
      <c r="D1008" s="9" t="s">
        <v>230</v>
      </c>
      <c r="E1008" s="4">
        <v>8</v>
      </c>
      <c r="F1008" s="10"/>
      <c r="G1008" s="3">
        <f>1.45*F1008</f>
        <v>0</v>
      </c>
      <c r="H1008" s="3">
        <f>0.013072048*F1008</f>
        <v>0</v>
      </c>
      <c r="I1008" s="3"/>
      <c r="J1008" s="3" t="s">
        <v>299</v>
      </c>
    </row>
    <row r="1009" spans="1:10" ht="46.9" hidden="1" customHeight="1">
      <c r="A1009" s="7" t="s">
        <v>360</v>
      </c>
      <c r="B1009" s="4">
        <v>1701602</v>
      </c>
      <c r="C1009" s="3"/>
      <c r="D1009" s="9" t="s">
        <v>231</v>
      </c>
      <c r="E1009" s="4">
        <v>8</v>
      </c>
      <c r="F1009" s="10"/>
      <c r="G1009" s="3">
        <f>1.63*F1009</f>
        <v>0</v>
      </c>
      <c r="H1009" s="3">
        <f>0.01537*F1009</f>
        <v>0</v>
      </c>
      <c r="I1009" s="3"/>
      <c r="J1009" s="3" t="s">
        <v>299</v>
      </c>
    </row>
    <row r="1010" spans="1:10" ht="46.9" hidden="1" customHeight="1">
      <c r="A1010" s="7" t="s">
        <v>360</v>
      </c>
      <c r="B1010" s="4">
        <v>1701603</v>
      </c>
      <c r="C1010" s="3"/>
      <c r="D1010" s="9" t="s">
        <v>232</v>
      </c>
      <c r="E1010" s="4">
        <v>8</v>
      </c>
      <c r="F1010" s="10"/>
      <c r="G1010" s="3">
        <f>1.97*F1010</f>
        <v>0</v>
      </c>
      <c r="H1010" s="3">
        <f>0.02144175*F1010</f>
        <v>0</v>
      </c>
      <c r="I1010" s="3"/>
      <c r="J1010" s="3" t="s">
        <v>299</v>
      </c>
    </row>
    <row r="1011" spans="1:10" ht="46.9" hidden="1" customHeight="1">
      <c r="A1011" s="7" t="s">
        <v>360</v>
      </c>
      <c r="B1011" s="4">
        <v>1701604</v>
      </c>
      <c r="C1011" s="3"/>
      <c r="D1011" s="9" t="s">
        <v>233</v>
      </c>
      <c r="E1011" s="4">
        <v>8</v>
      </c>
      <c r="F1011" s="10"/>
      <c r="G1011" s="3">
        <f>2.09*F1011</f>
        <v>0</v>
      </c>
      <c r="H1011" s="3">
        <f>0.03096525*F1011</f>
        <v>0</v>
      </c>
      <c r="I1011" s="3"/>
      <c r="J1011" s="3" t="s">
        <v>299</v>
      </c>
    </row>
    <row r="1012" spans="1:10" ht="46.9" hidden="1" customHeight="1">
      <c r="A1012" s="7" t="s">
        <v>355</v>
      </c>
      <c r="B1012" s="4">
        <v>1701605</v>
      </c>
      <c r="C1012" s="3"/>
      <c r="D1012" s="9" t="s">
        <v>234</v>
      </c>
      <c r="E1012" s="4">
        <v>8</v>
      </c>
      <c r="F1012" s="10"/>
      <c r="G1012" s="3">
        <f>0.85*F1012</f>
        <v>0</v>
      </c>
      <c r="H1012" s="3">
        <f>0.0070035*F1012</f>
        <v>0</v>
      </c>
      <c r="I1012" s="3"/>
      <c r="J1012" s="3" t="s">
        <v>299</v>
      </c>
    </row>
    <row r="1013" spans="1:10" ht="46.9" hidden="1" customHeight="1">
      <c r="A1013" s="7" t="s">
        <v>360</v>
      </c>
      <c r="B1013" s="4">
        <v>1701607</v>
      </c>
      <c r="C1013" s="3"/>
      <c r="D1013" s="9" t="s">
        <v>235</v>
      </c>
      <c r="E1013" s="4">
        <v>8</v>
      </c>
      <c r="F1013" s="10"/>
      <c r="G1013" s="3">
        <f>0.59*F1013</f>
        <v>0</v>
      </c>
      <c r="H1013" s="3">
        <f>0.0018135*F1013</f>
        <v>0</v>
      </c>
      <c r="I1013" s="3"/>
      <c r="J1013" s="3" t="s">
        <v>299</v>
      </c>
    </row>
    <row r="1014" spans="1:10" ht="46.9" hidden="1" customHeight="1">
      <c r="A1014" s="7" t="s">
        <v>355</v>
      </c>
      <c r="B1014" s="4">
        <v>2800000</v>
      </c>
      <c r="C1014" s="3"/>
      <c r="D1014" s="9" t="s">
        <v>236</v>
      </c>
      <c r="E1014" s="4">
        <v>4</v>
      </c>
      <c r="F1014" s="10"/>
      <c r="G1014" s="3">
        <f>1.26*F1014</f>
        <v>0</v>
      </c>
      <c r="H1014" s="3">
        <f>0.009964*F1014</f>
        <v>0</v>
      </c>
      <c r="I1014" s="3"/>
      <c r="J1014" s="3" t="s">
        <v>299</v>
      </c>
    </row>
    <row r="1015" spans="1:10" ht="46.9" hidden="1" customHeight="1">
      <c r="A1015" s="7" t="s">
        <v>355</v>
      </c>
      <c r="B1015" s="4">
        <v>3700470</v>
      </c>
      <c r="C1015" s="3"/>
      <c r="D1015" s="9" t="s">
        <v>237</v>
      </c>
      <c r="E1015" s="4">
        <v>12</v>
      </c>
      <c r="F1015" s="10"/>
      <c r="G1015" s="3">
        <f>0.82*F1015</f>
        <v>0</v>
      </c>
      <c r="H1015" s="3">
        <f>0.008439563*F1015</f>
        <v>0</v>
      </c>
      <c r="I1015" s="3"/>
      <c r="J1015" s="3" t="s">
        <v>299</v>
      </c>
    </row>
    <row r="1016" spans="1:10" ht="46.9" hidden="1" customHeight="1">
      <c r="A1016" s="7" t="s">
        <v>355</v>
      </c>
      <c r="B1016" s="4">
        <v>3700471</v>
      </c>
      <c r="C1016" s="3"/>
      <c r="D1016" s="9" t="s">
        <v>238</v>
      </c>
      <c r="E1016" s="4">
        <v>12</v>
      </c>
      <c r="F1016" s="10"/>
      <c r="G1016" s="3">
        <f>0.87*F1016</f>
        <v>0</v>
      </c>
      <c r="H1016" s="3">
        <f>0.008735688*F1016</f>
        <v>0</v>
      </c>
      <c r="I1016" s="3"/>
      <c r="J1016" s="3" t="s">
        <v>299</v>
      </c>
    </row>
    <row r="1017" spans="1:10" ht="46.9" hidden="1" customHeight="1">
      <c r="A1017" s="7" t="s">
        <v>355</v>
      </c>
      <c r="B1017" s="4">
        <v>3700472</v>
      </c>
      <c r="C1017" s="3"/>
      <c r="D1017" s="9" t="s">
        <v>239</v>
      </c>
      <c r="E1017" s="4">
        <v>12</v>
      </c>
      <c r="F1017" s="10"/>
      <c r="G1017" s="3">
        <f>0.86*F1017</f>
        <v>0</v>
      </c>
      <c r="H1017" s="3">
        <f>0.008735688*F1017</f>
        <v>0</v>
      </c>
      <c r="I1017" s="3"/>
      <c r="J1017" s="3" t="s">
        <v>299</v>
      </c>
    </row>
    <row r="1018" spans="1:10" ht="46.9" hidden="1" customHeight="1">
      <c r="A1018" s="7" t="s">
        <v>360</v>
      </c>
      <c r="B1018" s="4">
        <v>3700473</v>
      </c>
      <c r="C1018" s="3"/>
      <c r="D1018" s="9" t="s">
        <v>240</v>
      </c>
      <c r="E1018" s="4">
        <v>12</v>
      </c>
      <c r="F1018" s="10"/>
      <c r="G1018" s="3">
        <f>0.93*F1018</f>
        <v>0</v>
      </c>
      <c r="H1018" s="3">
        <f>0.009031813*F1018</f>
        <v>0</v>
      </c>
      <c r="I1018" s="3"/>
      <c r="J1018" s="3" t="s">
        <v>299</v>
      </c>
    </row>
    <row r="1019" spans="1:10" ht="18.75" hidden="1">
      <c r="A1019" s="6"/>
      <c r="B1019" s="19" t="s">
        <v>241</v>
      </c>
      <c r="C1019" s="20"/>
      <c r="D1019" s="20"/>
      <c r="E1019" s="20"/>
      <c r="F1019" s="20"/>
      <c r="G1019" s="20"/>
      <c r="H1019" s="20"/>
      <c r="I1019" s="20"/>
      <c r="J1019" s="21"/>
    </row>
    <row r="1020" spans="1:10" ht="46.9" hidden="1" customHeight="1">
      <c r="A1020" s="7" t="s">
        <v>360</v>
      </c>
      <c r="B1020" s="4">
        <v>2415600</v>
      </c>
      <c r="C1020" s="3"/>
      <c r="D1020" s="9" t="s">
        <v>242</v>
      </c>
      <c r="E1020" s="4">
        <v>1</v>
      </c>
      <c r="F1020" s="10"/>
      <c r="G1020" s="3">
        <f>8.3*F1020</f>
        <v>0</v>
      </c>
      <c r="H1020" s="3">
        <f>0.048749*F1020</f>
        <v>0</v>
      </c>
      <c r="I1020" s="3"/>
      <c r="J1020" s="3" t="s">
        <v>299</v>
      </c>
    </row>
    <row r="1021" spans="1:10" ht="46.9" hidden="1" customHeight="1">
      <c r="A1021" s="7" t="s">
        <v>360</v>
      </c>
      <c r="B1021" s="4">
        <v>2415601</v>
      </c>
      <c r="C1021" s="3"/>
      <c r="D1021" s="9" t="s">
        <v>243</v>
      </c>
      <c r="E1021" s="4">
        <v>1</v>
      </c>
      <c r="F1021" s="10"/>
      <c r="G1021" s="3">
        <f>8.3*F1021</f>
        <v>0</v>
      </c>
      <c r="H1021" s="3">
        <f>0.048749*F1021</f>
        <v>0</v>
      </c>
      <c r="I1021" s="3"/>
      <c r="J1021" s="3" t="s">
        <v>299</v>
      </c>
    </row>
    <row r="1022" spans="1:10" ht="46.9" hidden="1" customHeight="1">
      <c r="A1022" s="7" t="s">
        <v>360</v>
      </c>
      <c r="B1022" s="4">
        <v>2415700</v>
      </c>
      <c r="C1022" s="3"/>
      <c r="D1022" s="9" t="s">
        <v>244</v>
      </c>
      <c r="E1022" s="4">
        <v>1</v>
      </c>
      <c r="F1022" s="10"/>
      <c r="G1022" s="3">
        <f>124*F1022</f>
        <v>0</v>
      </c>
      <c r="H1022" s="3">
        <f>0.501075*F1022</f>
        <v>0</v>
      </c>
      <c r="I1022" s="3"/>
      <c r="J1022" s="3" t="s">
        <v>299</v>
      </c>
    </row>
    <row r="1023" spans="1:10" ht="46.9" hidden="1" customHeight="1">
      <c r="A1023" s="7" t="s">
        <v>360</v>
      </c>
      <c r="B1023" s="4">
        <v>2415701</v>
      </c>
      <c r="C1023" s="3"/>
      <c r="D1023" s="9" t="s">
        <v>245</v>
      </c>
      <c r="E1023" s="4">
        <v>1</v>
      </c>
      <c r="F1023" s="10"/>
      <c r="G1023" s="3">
        <f>124*F1023</f>
        <v>0</v>
      </c>
      <c r="H1023" s="3">
        <f>0.501075*F1023</f>
        <v>0</v>
      </c>
      <c r="I1023" s="3"/>
      <c r="J1023" s="3" t="s">
        <v>299</v>
      </c>
    </row>
    <row r="1024" spans="1:10" ht="46.9" hidden="1" customHeight="1">
      <c r="A1024" s="7" t="s">
        <v>360</v>
      </c>
      <c r="B1024" s="4">
        <v>2415702</v>
      </c>
      <c r="C1024" s="3"/>
      <c r="D1024" s="9" t="s">
        <v>246</v>
      </c>
      <c r="E1024" s="4">
        <v>1</v>
      </c>
      <c r="F1024" s="10"/>
      <c r="G1024" s="3">
        <f>124*F1024</f>
        <v>0</v>
      </c>
      <c r="H1024" s="3">
        <f>0.501075*F1024</f>
        <v>0</v>
      </c>
      <c r="I1024" s="3"/>
      <c r="J1024" s="3" t="s">
        <v>299</v>
      </c>
    </row>
    <row r="1025" spans="1:10" ht="46.9" hidden="1" customHeight="1">
      <c r="A1025" s="7" t="s">
        <v>360</v>
      </c>
      <c r="B1025" s="4">
        <v>2415703</v>
      </c>
      <c r="C1025" s="3"/>
      <c r="D1025" s="9" t="s">
        <v>247</v>
      </c>
      <c r="E1025" s="4">
        <v>1</v>
      </c>
      <c r="F1025" s="10"/>
      <c r="G1025" s="3">
        <f>27.5*F1025</f>
        <v>0</v>
      </c>
      <c r="H1025" s="3">
        <f>0.116116*F1025</f>
        <v>0</v>
      </c>
      <c r="I1025" s="3"/>
      <c r="J1025" s="3" t="s">
        <v>299</v>
      </c>
    </row>
    <row r="1026" spans="1:10" ht="46.9" hidden="1" customHeight="1">
      <c r="A1026" s="7" t="s">
        <v>360</v>
      </c>
      <c r="B1026" s="4">
        <v>2415704</v>
      </c>
      <c r="C1026" s="3"/>
      <c r="D1026" s="9" t="s">
        <v>248</v>
      </c>
      <c r="E1026" s="4">
        <v>1</v>
      </c>
      <c r="F1026" s="10"/>
      <c r="G1026" s="3">
        <f>27.5*F1026</f>
        <v>0</v>
      </c>
      <c r="H1026" s="3">
        <f>0.116116*F1026</f>
        <v>0</v>
      </c>
      <c r="I1026" s="3"/>
      <c r="J1026" s="3" t="s">
        <v>299</v>
      </c>
    </row>
    <row r="1027" spans="1:10" ht="46.9" hidden="1" customHeight="1">
      <c r="A1027" s="7" t="s">
        <v>355</v>
      </c>
      <c r="B1027" s="4">
        <v>2415705</v>
      </c>
      <c r="C1027" s="3"/>
      <c r="D1027" s="9" t="s">
        <v>249</v>
      </c>
      <c r="E1027" s="4">
        <v>1</v>
      </c>
      <c r="F1027" s="10"/>
      <c r="G1027" s="3">
        <f>27.5*F1027</f>
        <v>0</v>
      </c>
      <c r="H1027" s="3">
        <f>0.11484*F1027</f>
        <v>0</v>
      </c>
      <c r="I1027" s="3"/>
      <c r="J1027" s="3" t="s">
        <v>299</v>
      </c>
    </row>
    <row r="1028" spans="1:10" ht="46.9" hidden="1" customHeight="1">
      <c r="A1028" s="7" t="s">
        <v>355</v>
      </c>
      <c r="B1028" s="4">
        <v>2415495</v>
      </c>
      <c r="C1028" s="3"/>
      <c r="D1028" s="9" t="s">
        <v>250</v>
      </c>
      <c r="E1028" s="4">
        <v>12</v>
      </c>
      <c r="F1028" s="10"/>
      <c r="G1028" s="3">
        <f>0.88*F1028</f>
        <v>0</v>
      </c>
      <c r="H1028" s="3">
        <f>0.00408375*F1028</f>
        <v>0</v>
      </c>
      <c r="I1028" s="3"/>
      <c r="J1028" s="3" t="s">
        <v>299</v>
      </c>
    </row>
    <row r="1029" spans="1:10" ht="46.9" hidden="1" customHeight="1">
      <c r="A1029" s="7" t="s">
        <v>355</v>
      </c>
      <c r="B1029" s="4">
        <v>2415494</v>
      </c>
      <c r="C1029" s="3"/>
      <c r="D1029" s="9" t="s">
        <v>251</v>
      </c>
      <c r="E1029" s="4">
        <v>6</v>
      </c>
      <c r="F1029" s="10"/>
      <c r="G1029" s="3">
        <f>2.33*F1029</f>
        <v>0</v>
      </c>
      <c r="H1029" s="3">
        <f>0.0075465*F1029</f>
        <v>0</v>
      </c>
      <c r="I1029" s="3"/>
      <c r="J1029" s="3" t="s">
        <v>299</v>
      </c>
    </row>
    <row r="1030" spans="1:10" ht="46.9" hidden="1" customHeight="1">
      <c r="A1030" s="7" t="s">
        <v>355</v>
      </c>
      <c r="B1030" s="4">
        <v>2415496</v>
      </c>
      <c r="C1030" s="3"/>
      <c r="D1030" s="9" t="s">
        <v>252</v>
      </c>
      <c r="E1030" s="4">
        <v>2</v>
      </c>
      <c r="F1030" s="10"/>
      <c r="G1030" s="3">
        <f>5.23*F1030</f>
        <v>0</v>
      </c>
      <c r="H1030" s="3">
        <f>0.054162063*F1030</f>
        <v>0</v>
      </c>
      <c r="I1030" s="3"/>
      <c r="J1030" s="3" t="s">
        <v>299</v>
      </c>
    </row>
    <row r="1031" spans="1:10" ht="46.9" hidden="1" customHeight="1">
      <c r="A1031" s="7" t="s">
        <v>355</v>
      </c>
      <c r="B1031" s="4">
        <v>2415497</v>
      </c>
      <c r="C1031" s="3"/>
      <c r="D1031" s="9" t="s">
        <v>253</v>
      </c>
      <c r="E1031" s="4">
        <v>2</v>
      </c>
      <c r="F1031" s="10"/>
      <c r="G1031" s="3">
        <f>1.45*F1031</f>
        <v>0</v>
      </c>
      <c r="H1031" s="3">
        <f>0.0094185*F1031</f>
        <v>0</v>
      </c>
      <c r="I1031" s="3"/>
      <c r="J1031" s="3" t="s">
        <v>299</v>
      </c>
    </row>
    <row r="1032" spans="1:10" ht="46.9" hidden="1" customHeight="1">
      <c r="A1032" s="7" t="s">
        <v>355</v>
      </c>
      <c r="B1032" s="4">
        <v>2415498</v>
      </c>
      <c r="C1032" s="3"/>
      <c r="D1032" s="9" t="s">
        <v>254</v>
      </c>
      <c r="E1032" s="4">
        <v>25</v>
      </c>
      <c r="F1032" s="10"/>
      <c r="G1032" s="3">
        <f>0.34*F1032</f>
        <v>0</v>
      </c>
      <c r="H1032" s="3">
        <f>0.001908*F1032</f>
        <v>0</v>
      </c>
      <c r="I1032" s="3"/>
      <c r="J1032" s="3" t="s">
        <v>299</v>
      </c>
    </row>
    <row r="1033" spans="1:10" ht="46.9" hidden="1" customHeight="1">
      <c r="A1033" s="7" t="s">
        <v>355</v>
      </c>
      <c r="B1033" s="4">
        <v>2415499</v>
      </c>
      <c r="C1033" s="3"/>
      <c r="D1033" s="9" t="s">
        <v>255</v>
      </c>
      <c r="E1033" s="4">
        <v>12</v>
      </c>
      <c r="F1033" s="10"/>
      <c r="G1033" s="3">
        <f>1*F1033</f>
        <v>0</v>
      </c>
      <c r="H1033" s="3">
        <f>0.0050955*F1033</f>
        <v>0</v>
      </c>
      <c r="I1033" s="3"/>
      <c r="J1033" s="3" t="s">
        <v>299</v>
      </c>
    </row>
    <row r="1034" spans="1:10" ht="46.9" hidden="1" customHeight="1">
      <c r="A1034" s="7" t="s">
        <v>355</v>
      </c>
      <c r="B1034" s="4">
        <v>4490285</v>
      </c>
      <c r="C1034" s="3"/>
      <c r="D1034" s="9" t="s">
        <v>256</v>
      </c>
      <c r="E1034" s="4">
        <v>3</v>
      </c>
      <c r="F1034" s="10"/>
      <c r="G1034" s="3">
        <f>8.87*F1034</f>
        <v>0</v>
      </c>
      <c r="H1034" s="3">
        <f>0.0269325*F1034</f>
        <v>0</v>
      </c>
      <c r="I1034" s="3"/>
      <c r="J1034" s="3" t="s">
        <v>299</v>
      </c>
    </row>
    <row r="1035" spans="1:10" ht="46.9" hidden="1" customHeight="1">
      <c r="A1035" s="7" t="s">
        <v>360</v>
      </c>
      <c r="B1035" s="4">
        <v>1108180</v>
      </c>
      <c r="C1035" s="3"/>
      <c r="D1035" s="9" t="s">
        <v>257</v>
      </c>
      <c r="E1035" s="4">
        <v>5</v>
      </c>
      <c r="F1035" s="10"/>
      <c r="G1035" s="3">
        <f>2.5*F1035</f>
        <v>0</v>
      </c>
      <c r="H1035" s="3">
        <f>0.0103224*F1035</f>
        <v>0</v>
      </c>
      <c r="I1035" s="3"/>
      <c r="J1035" s="3" t="s">
        <v>299</v>
      </c>
    </row>
    <row r="1036" spans="1:10" ht="46.9" hidden="1" customHeight="1">
      <c r="A1036" s="7" t="s">
        <v>360</v>
      </c>
      <c r="B1036" s="4">
        <v>1108325</v>
      </c>
      <c r="C1036" s="3"/>
      <c r="D1036" s="9" t="s">
        <v>258</v>
      </c>
      <c r="E1036" s="4">
        <v>4</v>
      </c>
      <c r="F1036" s="10"/>
      <c r="G1036" s="3">
        <f>4.5*F1036</f>
        <v>0</v>
      </c>
      <c r="H1036" s="3">
        <f>0.01547*F1036</f>
        <v>0</v>
      </c>
      <c r="I1036" s="3"/>
      <c r="J1036" s="3" t="s">
        <v>299</v>
      </c>
    </row>
    <row r="1037" spans="1:10" ht="46.9" hidden="1" customHeight="1">
      <c r="A1037" s="7" t="s">
        <v>360</v>
      </c>
      <c r="B1037" s="4">
        <v>1108187</v>
      </c>
      <c r="C1037" s="3"/>
      <c r="D1037" s="9" t="s">
        <v>259</v>
      </c>
      <c r="E1037" s="4">
        <v>6</v>
      </c>
      <c r="F1037" s="10"/>
      <c r="G1037" s="3">
        <f>0*F1037</f>
        <v>0</v>
      </c>
      <c r="H1037" s="3">
        <f>0*F1037</f>
        <v>0</v>
      </c>
      <c r="I1037" s="3"/>
      <c r="J1037" s="3" t="s">
        <v>299</v>
      </c>
    </row>
    <row r="1038" spans="1:10" ht="46.9" hidden="1" customHeight="1">
      <c r="A1038" s="7" t="s">
        <v>355</v>
      </c>
      <c r="B1038" s="4">
        <v>1100189</v>
      </c>
      <c r="C1038" s="3"/>
      <c r="D1038" s="9" t="s">
        <v>260</v>
      </c>
      <c r="E1038" s="4">
        <v>12</v>
      </c>
      <c r="F1038" s="10"/>
      <c r="G1038" s="3">
        <f>1.58*F1038</f>
        <v>0</v>
      </c>
      <c r="H1038" s="3">
        <f>0.007384667*F1038</f>
        <v>0</v>
      </c>
      <c r="I1038" s="3"/>
      <c r="J1038" s="3" t="s">
        <v>299</v>
      </c>
    </row>
    <row r="1039" spans="1:10" ht="46.9" hidden="1" customHeight="1">
      <c r="A1039" s="7" t="s">
        <v>355</v>
      </c>
      <c r="B1039" s="4">
        <v>4490300</v>
      </c>
      <c r="C1039" s="3"/>
      <c r="D1039" s="9" t="s">
        <v>261</v>
      </c>
      <c r="E1039" s="4">
        <v>8</v>
      </c>
      <c r="F1039" s="10"/>
      <c r="G1039" s="3">
        <f>1.33*F1039</f>
        <v>0</v>
      </c>
      <c r="H1039" s="3">
        <f>0.010945125*F1039</f>
        <v>0</v>
      </c>
      <c r="I1039" s="3"/>
      <c r="J1039" s="3" t="s">
        <v>299</v>
      </c>
    </row>
    <row r="1040" spans="1:10" ht="46.9" hidden="1" customHeight="1">
      <c r="A1040" s="7" t="s">
        <v>360</v>
      </c>
      <c r="B1040" s="4">
        <v>4490301</v>
      </c>
      <c r="C1040" s="3"/>
      <c r="D1040" s="9" t="s">
        <v>262</v>
      </c>
      <c r="E1040" s="4">
        <v>8</v>
      </c>
      <c r="F1040" s="10"/>
      <c r="G1040" s="3">
        <f>1.04*F1040</f>
        <v>0</v>
      </c>
      <c r="H1040" s="3">
        <f>0.007808*F1040</f>
        <v>0</v>
      </c>
      <c r="I1040" s="3"/>
      <c r="J1040" s="3" t="s">
        <v>299</v>
      </c>
    </row>
    <row r="1041" spans="1:10" ht="46.9" hidden="1" customHeight="1">
      <c r="A1041" s="7" t="s">
        <v>355</v>
      </c>
      <c r="B1041" s="4">
        <v>4490302</v>
      </c>
      <c r="C1041" s="3"/>
      <c r="D1041" s="9" t="s">
        <v>263</v>
      </c>
      <c r="E1041" s="4">
        <v>8</v>
      </c>
      <c r="F1041" s="10"/>
      <c r="G1041" s="3">
        <f>0.69*F1041</f>
        <v>0</v>
      </c>
      <c r="H1041" s="3">
        <f>0.006073438*F1041</f>
        <v>0</v>
      </c>
      <c r="I1041" s="3"/>
      <c r="J1041" s="3" t="s">
        <v>299</v>
      </c>
    </row>
    <row r="1042" spans="1:10" ht="46.9" hidden="1" customHeight="1">
      <c r="A1042" s="7" t="s">
        <v>355</v>
      </c>
      <c r="B1042" s="4">
        <v>4490303</v>
      </c>
      <c r="C1042" s="3"/>
      <c r="D1042" s="9" t="s">
        <v>264</v>
      </c>
      <c r="E1042" s="4">
        <v>16</v>
      </c>
      <c r="F1042" s="10"/>
      <c r="G1042" s="3">
        <f>0.55*F1042</f>
        <v>0</v>
      </c>
      <c r="H1042" s="3">
        <f>0.002588578*F1042</f>
        <v>0</v>
      </c>
      <c r="I1042" s="3"/>
      <c r="J1042" s="3" t="s">
        <v>299</v>
      </c>
    </row>
    <row r="1043" spans="1:10" ht="46.9" hidden="1" customHeight="1">
      <c r="A1043" s="7" t="s">
        <v>355</v>
      </c>
      <c r="B1043" s="4">
        <v>4490304</v>
      </c>
      <c r="C1043" s="3"/>
      <c r="D1043" s="9" t="s">
        <v>265</v>
      </c>
      <c r="E1043" s="4">
        <v>8</v>
      </c>
      <c r="F1043" s="10"/>
      <c r="G1043" s="3">
        <f>0.91*F1043</f>
        <v>0</v>
      </c>
      <c r="H1043" s="3">
        <f>0.009*F1043</f>
        <v>0</v>
      </c>
      <c r="I1043" s="3"/>
      <c r="J1043" s="3" t="s">
        <v>299</v>
      </c>
    </row>
    <row r="1044" spans="1:10" ht="46.9" hidden="1" customHeight="1">
      <c r="A1044" s="7" t="s">
        <v>355</v>
      </c>
      <c r="B1044" s="4">
        <v>4490305</v>
      </c>
      <c r="C1044" s="3"/>
      <c r="D1044" s="9" t="s">
        <v>266</v>
      </c>
      <c r="E1044" s="4">
        <v>12</v>
      </c>
      <c r="F1044" s="10"/>
      <c r="G1044" s="3">
        <f>1.13*F1044</f>
        <v>0</v>
      </c>
      <c r="H1044" s="3">
        <f>0.007567*F1044</f>
        <v>0</v>
      </c>
      <c r="I1044" s="3"/>
      <c r="J1044" s="3" t="s">
        <v>299</v>
      </c>
    </row>
    <row r="1045" spans="1:10" ht="46.9" hidden="1" customHeight="1">
      <c r="A1045" s="7" t="s">
        <v>355</v>
      </c>
      <c r="B1045" s="4">
        <v>4490120</v>
      </c>
      <c r="C1045" s="3"/>
      <c r="D1045" s="9" t="s">
        <v>267</v>
      </c>
      <c r="E1045" s="4">
        <v>32</v>
      </c>
      <c r="F1045" s="10"/>
      <c r="G1045" s="3">
        <f>0.31*F1045</f>
        <v>0</v>
      </c>
      <c r="H1045" s="3">
        <f>0.000724281*F1045</f>
        <v>0</v>
      </c>
      <c r="I1045" s="3"/>
      <c r="J1045" s="3" t="s">
        <v>299</v>
      </c>
    </row>
    <row r="1046" spans="1:10" ht="46.9" hidden="1" customHeight="1">
      <c r="A1046" s="7" t="s">
        <v>355</v>
      </c>
      <c r="B1046" s="4">
        <v>4490306</v>
      </c>
      <c r="C1046" s="3"/>
      <c r="D1046" s="9" t="s">
        <v>268</v>
      </c>
      <c r="E1046" s="4">
        <v>36</v>
      </c>
      <c r="F1046" s="10"/>
      <c r="G1046" s="3">
        <f>0.3*F1046</f>
        <v>0</v>
      </c>
      <c r="H1046" s="3">
        <f>0.00123025*F1046</f>
        <v>0</v>
      </c>
      <c r="I1046" s="3"/>
      <c r="J1046" s="3" t="s">
        <v>299</v>
      </c>
    </row>
    <row r="1047" spans="1:10" ht="46.9" hidden="1" customHeight="1">
      <c r="A1047" s="7" t="s">
        <v>355</v>
      </c>
      <c r="B1047" s="4">
        <v>4490307</v>
      </c>
      <c r="C1047" s="3"/>
      <c r="D1047" s="9" t="s">
        <v>269</v>
      </c>
      <c r="E1047" s="4">
        <v>20</v>
      </c>
      <c r="F1047" s="10"/>
      <c r="G1047" s="3">
        <f>0.6*F1047</f>
        <v>0</v>
      </c>
      <c r="H1047" s="3">
        <f>0.002004975*F1047</f>
        <v>0</v>
      </c>
      <c r="I1047" s="3"/>
      <c r="J1047" s="3" t="s">
        <v>299</v>
      </c>
    </row>
    <row r="1048" spans="1:10" ht="46.9" hidden="1" customHeight="1">
      <c r="A1048" s="7" t="s">
        <v>355</v>
      </c>
      <c r="B1048" s="4">
        <v>4490308</v>
      </c>
      <c r="C1048" s="3"/>
      <c r="D1048" s="9" t="s">
        <v>270</v>
      </c>
      <c r="E1048" s="4">
        <v>20</v>
      </c>
      <c r="F1048" s="10"/>
      <c r="G1048" s="3">
        <f>0.55*F1048</f>
        <v>0</v>
      </c>
      <c r="H1048" s="3">
        <f>0.001531788*F1048</f>
        <v>0</v>
      </c>
      <c r="I1048" s="3"/>
      <c r="J1048" s="3" t="s">
        <v>299</v>
      </c>
    </row>
    <row r="1049" spans="1:10" ht="46.9" hidden="1" customHeight="1">
      <c r="A1049" s="7" t="s">
        <v>355</v>
      </c>
      <c r="B1049" s="4">
        <v>4490309</v>
      </c>
      <c r="C1049" s="3"/>
      <c r="D1049" s="9" t="s">
        <v>271</v>
      </c>
      <c r="E1049" s="4">
        <v>48</v>
      </c>
      <c r="F1049" s="10"/>
      <c r="G1049" s="3">
        <f>0.2*F1049</f>
        <v>0</v>
      </c>
      <c r="H1049" s="3">
        <f>0.000338625*F1049</f>
        <v>0</v>
      </c>
      <c r="I1049" s="3"/>
      <c r="J1049" s="3" t="s">
        <v>299</v>
      </c>
    </row>
    <row r="1050" spans="1:10" ht="46.9" hidden="1" customHeight="1">
      <c r="A1050" s="7" t="s">
        <v>355</v>
      </c>
      <c r="B1050" s="4">
        <v>4490310</v>
      </c>
      <c r="C1050" s="3"/>
      <c r="D1050" s="9" t="s">
        <v>272</v>
      </c>
      <c r="E1050" s="4">
        <v>32</v>
      </c>
      <c r="F1050" s="10"/>
      <c r="G1050" s="3">
        <f>0.38*F1050</f>
        <v>0</v>
      </c>
      <c r="H1050" s="3">
        <f>0.000687305*F1050</f>
        <v>0</v>
      </c>
      <c r="I1050" s="3"/>
      <c r="J1050" s="3" t="s">
        <v>299</v>
      </c>
    </row>
    <row r="1051" spans="1:10" ht="46.9" hidden="1" customHeight="1">
      <c r="A1051" s="7" t="s">
        <v>355</v>
      </c>
      <c r="B1051" s="4">
        <v>3950076</v>
      </c>
      <c r="C1051" s="3"/>
      <c r="D1051" s="9" t="s">
        <v>273</v>
      </c>
      <c r="E1051" s="4">
        <v>12</v>
      </c>
      <c r="F1051" s="10"/>
      <c r="G1051" s="3">
        <f>0.33*F1051</f>
        <v>0</v>
      </c>
      <c r="H1051" s="3">
        <f>0.0022385*F1051</f>
        <v>0</v>
      </c>
      <c r="I1051" s="3"/>
      <c r="J1051" s="3" t="s">
        <v>299</v>
      </c>
    </row>
    <row r="1052" spans="1:10" ht="46.9" hidden="1" customHeight="1">
      <c r="A1052" s="7" t="s">
        <v>355</v>
      </c>
      <c r="B1052" s="4">
        <v>4490311</v>
      </c>
      <c r="C1052" s="3"/>
      <c r="D1052" s="9" t="s">
        <v>274</v>
      </c>
      <c r="E1052" s="4">
        <v>14</v>
      </c>
      <c r="F1052" s="10"/>
      <c r="G1052" s="3">
        <f>0.79*F1052</f>
        <v>0</v>
      </c>
      <c r="H1052" s="3">
        <f>0.00158625*F1052</f>
        <v>0</v>
      </c>
      <c r="I1052" s="3"/>
      <c r="J1052" s="3" t="s">
        <v>299</v>
      </c>
    </row>
    <row r="1053" spans="1:10" ht="46.9" hidden="1" customHeight="1">
      <c r="A1053" s="7" t="s">
        <v>355</v>
      </c>
      <c r="B1053" s="4">
        <v>4490312</v>
      </c>
      <c r="C1053" s="3"/>
      <c r="D1053" s="9" t="s">
        <v>275</v>
      </c>
      <c r="E1053" s="4">
        <v>12</v>
      </c>
      <c r="F1053" s="10"/>
      <c r="G1053" s="3">
        <f>1.02*F1053</f>
        <v>0</v>
      </c>
      <c r="H1053" s="3">
        <f>0.001775*F1053</f>
        <v>0</v>
      </c>
      <c r="I1053" s="3"/>
      <c r="J1053" s="3" t="s">
        <v>299</v>
      </c>
    </row>
    <row r="1054" spans="1:10" ht="46.9" hidden="1" customHeight="1">
      <c r="A1054" s="7" t="s">
        <v>355</v>
      </c>
      <c r="B1054" s="4">
        <v>4490326</v>
      </c>
      <c r="C1054" s="3"/>
      <c r="D1054" s="9" t="s">
        <v>276</v>
      </c>
      <c r="E1054" s="4">
        <v>8</v>
      </c>
      <c r="F1054" s="10"/>
      <c r="G1054" s="3">
        <f>1.13*F1054</f>
        <v>0</v>
      </c>
      <c r="H1054" s="3">
        <f>0.011016*F1054</f>
        <v>0</v>
      </c>
      <c r="I1054" s="3"/>
      <c r="J1054" s="3" t="s">
        <v>299</v>
      </c>
    </row>
    <row r="1055" spans="1:10" ht="46.9" hidden="1" customHeight="1">
      <c r="A1055" s="7" t="s">
        <v>360</v>
      </c>
      <c r="B1055" s="4">
        <v>4490328</v>
      </c>
      <c r="C1055" s="3"/>
      <c r="D1055" s="9" t="s">
        <v>277</v>
      </c>
      <c r="E1055" s="4">
        <v>12</v>
      </c>
      <c r="F1055" s="10"/>
      <c r="G1055" s="3">
        <f>0.87*F1055</f>
        <v>0</v>
      </c>
      <c r="H1055" s="3">
        <f>0.007711417*F1055</f>
        <v>0</v>
      </c>
      <c r="I1055" s="3"/>
      <c r="J1055" s="3" t="s">
        <v>299</v>
      </c>
    </row>
    <row r="1056" spans="1:10" ht="46.9" hidden="1" customHeight="1">
      <c r="A1056" s="7" t="s">
        <v>355</v>
      </c>
      <c r="B1056" s="4">
        <v>2800101</v>
      </c>
      <c r="C1056" s="3"/>
      <c r="D1056" s="9" t="s">
        <v>278</v>
      </c>
      <c r="E1056" s="4">
        <v>16</v>
      </c>
      <c r="F1056" s="10"/>
      <c r="G1056" s="3">
        <f>0.69*F1056</f>
        <v>0</v>
      </c>
      <c r="H1056" s="3">
        <f>0.003726938*F1056</f>
        <v>0</v>
      </c>
      <c r="I1056" s="3"/>
      <c r="J1056" s="3" t="s">
        <v>299</v>
      </c>
    </row>
    <row r="1057" spans="1:10" ht="18.75" hidden="1">
      <c r="A1057" s="6"/>
      <c r="B1057" s="19" t="s">
        <v>279</v>
      </c>
      <c r="C1057" s="20"/>
      <c r="D1057" s="20"/>
      <c r="E1057" s="20"/>
      <c r="F1057" s="20"/>
      <c r="G1057" s="20"/>
      <c r="H1057" s="20"/>
      <c r="I1057" s="20"/>
      <c r="J1057" s="21"/>
    </row>
    <row r="1058" spans="1:10" ht="46.9" hidden="1" customHeight="1">
      <c r="A1058" s="7" t="s">
        <v>355</v>
      </c>
      <c r="B1058" s="4">
        <v>900501</v>
      </c>
      <c r="C1058" s="3"/>
      <c r="D1058" s="9" t="s">
        <v>280</v>
      </c>
      <c r="E1058" s="4">
        <v>100</v>
      </c>
      <c r="F1058" s="10"/>
      <c r="G1058" s="3">
        <f>0*F1058</f>
        <v>0</v>
      </c>
      <c r="H1058" s="3">
        <f>0*F1058</f>
        <v>0</v>
      </c>
      <c r="I1058" s="3"/>
      <c r="J1058" s="3" t="s">
        <v>299</v>
      </c>
    </row>
    <row r="1059" spans="1:10" ht="46.9" hidden="1" customHeight="1">
      <c r="A1059" s="7" t="s">
        <v>360</v>
      </c>
      <c r="B1059" s="4">
        <v>900502</v>
      </c>
      <c r="C1059" s="3"/>
      <c r="D1059" s="9" t="s">
        <v>281</v>
      </c>
      <c r="E1059" s="4">
        <v>100</v>
      </c>
      <c r="F1059" s="10"/>
      <c r="G1059" s="3">
        <f>0*F1059</f>
        <v>0</v>
      </c>
      <c r="H1059" s="3">
        <f>0*F1059</f>
        <v>0</v>
      </c>
      <c r="I1059" s="3"/>
      <c r="J1059" s="3" t="s">
        <v>299</v>
      </c>
    </row>
    <row r="1060" spans="1:10" ht="46.9" hidden="1" customHeight="1">
      <c r="A1060" s="7" t="s">
        <v>360</v>
      </c>
      <c r="B1060" s="4">
        <v>900503</v>
      </c>
      <c r="C1060" s="3"/>
      <c r="D1060" s="9" t="s">
        <v>282</v>
      </c>
      <c r="E1060" s="4">
        <v>100</v>
      </c>
      <c r="F1060" s="10"/>
      <c r="G1060" s="3">
        <f>0*F1060</f>
        <v>0</v>
      </c>
      <c r="H1060" s="3">
        <f>0*F1060</f>
        <v>0</v>
      </c>
      <c r="I1060" s="3"/>
      <c r="J1060" s="3" t="s">
        <v>299</v>
      </c>
    </row>
  </sheetData>
  <sheetProtection formatCells="0" formatColumns="0" formatRows="0" insertColumns="0" insertRows="0" insertHyperlinks="0" deleteColumns="0" deleteRows="0" sort="0" autoFilter="0" pivotTables="0"/>
  <autoFilter ref="A11:J1060">
    <filterColumn colId="5">
      <customFilters>
        <customFilter operator="notEqual" val=" "/>
      </customFilters>
    </filterColumn>
  </autoFilter>
  <mergeCells count="5">
    <mergeCell ref="F10:F11"/>
    <mergeCell ref="B10:B11"/>
    <mergeCell ref="C10:C11"/>
    <mergeCell ref="D10:D11"/>
    <mergeCell ref="E10:E11"/>
  </mergeCells>
  <phoneticPr fontId="0" type="noConversion"/>
  <printOptions horizontalCentered="1"/>
  <pageMargins left="0.1" right="0.1" top="0.5" bottom="0.3" header="0" footer="0"/>
  <pageSetup fitToHeight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C1:F1"/>
  <sheetViews>
    <sheetView zoomScale="70" workbookViewId="0">
      <pane ySplit="1" topLeftCell="A2" activePane="bottomLeft" state="frozen"/>
      <selection pane="bottomLeft" sqref="A1:IV65536"/>
    </sheetView>
  </sheetViews>
  <sheetFormatPr defaultRowHeight="15"/>
  <cols>
    <col min="3" max="6" width="9.140625" style="1"/>
  </cols>
  <sheetData/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Прайс-лист</vt:lpstr>
      <vt:lpstr>Список цен</vt:lpstr>
      <vt:lpstr>'Прайс-лист'!Заголовки_для_печати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</dc:title>
  <dc:subject>Прайс-Лист</dc:subject>
  <dc:creator>BergHOFF</dc:creator>
  <cp:keywords>Прайс-Лист</cp:keywords>
  <dc:description>Прайс-Лист</dc:description>
  <cp:lastModifiedBy>Анна Пусеп</cp:lastModifiedBy>
  <dcterms:created xsi:type="dcterms:W3CDTF">2019-01-18T06:39:57Z</dcterms:created>
  <dcterms:modified xsi:type="dcterms:W3CDTF">2019-01-28T01:42:53Z</dcterms:modified>
  <cp:category>Прайс-Лист</cp:category>
</cp:coreProperties>
</file>